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T_Granados\Desktop\Respaldos disco D\TGRANADOS\PMGIR PROCESO 2020 - 2025\PMGIR _ Documentos finales\"/>
    </mc:Choice>
  </mc:AlternateContent>
  <xr:revisionPtr revIDLastSave="0" documentId="13_ncr:1_{2D54ACDA-8A2F-4873-99F7-1295D7D7ECB8}" xr6:coauthVersionLast="44" xr6:coauthVersionMax="44" xr10:uidLastSave="{00000000-0000-0000-0000-000000000000}"/>
  <bookViews>
    <workbookView xWindow="-120" yWindow="-120" windowWidth="29040" windowHeight="17640" tabRatio="835" activeTab="1" xr2:uid="{00000000-000D-0000-FFFF-FFFF00000000}"/>
  </bookViews>
  <sheets>
    <sheet name="Cuadro Control" sheetId="14" r:id="rId1"/>
    <sheet name="Matriz Indicadores" sheetId="11" r:id="rId2"/>
    <sheet name="Formulas" sheetId="12" state="hidden" r:id="rId3"/>
    <sheet name="Sensibilización" sheetId="21" r:id="rId4"/>
    <sheet name="Incentivos" sheetId="20" r:id="rId5"/>
    <sheet name="Coordinación interinstitucional" sheetId="15" r:id="rId6"/>
    <sheet name="Limpieza vías" sheetId="16" r:id="rId7"/>
    <sheet name="Residuos valorizables" sheetId="17" r:id="rId8"/>
    <sheet name="Residuos no trad y botaderos" sheetId="18" r:id="rId9"/>
    <sheet name="Acciones en Varablanca" sheetId="19" r:id="rId10"/>
  </sheets>
  <definedNames>
    <definedName name="Educación_2014">'Matriz Indicadores'!$G$6:$G$11</definedName>
    <definedName name="Educación_2015">'Matriz Indicadores'!$H$6:$H$11</definedName>
    <definedName name="Educación_2016">'Matriz Indicadores'!$I$6:$I$11</definedName>
    <definedName name="Educación_2017">'Matriz Indicadores'!$J$6:$J$11</definedName>
    <definedName name="Educación_2018">'Matriz Indicadores'!$K$6:$K$11</definedName>
    <definedName name="Educación_2019">'Matriz Indicadores'!$L$6:$L$11</definedName>
    <definedName name="Facilitacion_2014">'Matriz Indicadores'!$G$43:$G$47</definedName>
    <definedName name="Facilitacion_2015">'Matriz Indicadores'!$H$43:$H$47</definedName>
    <definedName name="Facilitacion_2016">'Matriz Indicadores'!$I$43:$I$47</definedName>
    <definedName name="Facilitacion_2017">'Matriz Indicadores'!$J$43:$J$47</definedName>
    <definedName name="Facilitacion_2018">'Matriz Indicadores'!$K$43:$K$47</definedName>
    <definedName name="Facilitacion_2019">'Matriz Indicadores'!$L$43:$L$47</definedName>
    <definedName name="Incentivos_y_multas_2014">'Matriz Indicadores'!$G$13:$G$17</definedName>
    <definedName name="Incentivos_y_multas_2015">'Matriz Indicadores'!$H$13:$H$17</definedName>
    <definedName name="Incentivos_y_multas_2016">'Matriz Indicadores'!$I$13:$I$17</definedName>
    <definedName name="Incentivos_y_multas_2017">'Matriz Indicadores'!$J$13:$J$17</definedName>
    <definedName name="Incentivos_y_multas_2018">'Matriz Indicadores'!$K$13:$K$17</definedName>
    <definedName name="Incentivos_y_multas_2019">'Matriz Indicadores'!$L$13:$L$17</definedName>
    <definedName name="Limpieza_de_vias_2014">'Matriz Indicadores'!$G$37:$G$42</definedName>
    <definedName name="Limpieza_de_vias_2015">'Matriz Indicadores'!$H$37:$H$42</definedName>
    <definedName name="Limpieza_de_vias_2016">'Matriz Indicadores'!$I$37:$I$42</definedName>
    <definedName name="Limpieza_de_vias_2017">'Matriz Indicadores'!$J$37:$J$42</definedName>
    <definedName name="Limpieza_de_vias_2018">'Matriz Indicadores'!$K$37:$K$42</definedName>
    <definedName name="Limpieza_de_vias_2019">'Matriz Indicadores'!$L$37:$L$42</definedName>
    <definedName name="Recoleccion_2014">'Matriz Indicadores'!$G$18:$G$25</definedName>
    <definedName name="Recoleccion_2015">'Matriz Indicadores'!$H$18:$H$25</definedName>
    <definedName name="Recoleccion_2016">'Matriz Indicadores'!$I$18:$I$25</definedName>
    <definedName name="Recoleccion_2017">'Matriz Indicadores'!$J$18:$J$25</definedName>
    <definedName name="Recoleccion_2018">'Matriz Indicadores'!$K$18:$K$25</definedName>
    <definedName name="Recoleccion_2019">'Matriz Indicadores'!$L$18:$L$25</definedName>
    <definedName name="Residuos_No_Tradicionales_y_peligrosos_2014">'Matriz Indicadores'!$G$26:$G$30</definedName>
    <definedName name="Residuos_No_Tradicionales_y_peligrosos_2015">'Matriz Indicadores'!$H$26:$H$30</definedName>
    <definedName name="Residuos_No_Tradicionales_y_peligrosos_2016">'Matriz Indicadores'!$I$26:$I$30</definedName>
    <definedName name="Residuos_No_Tradicionales_y_peligrosos_2017">'Matriz Indicadores'!$J$26:$J$30</definedName>
    <definedName name="Residuos_No_Tradicionales_y_peligrosos_2018">'Matriz Indicadores'!$K$26:$K$30</definedName>
    <definedName name="Residuos_No_Tradicionales_y_peligrosos_2019">'Matriz Indicadores'!$L$26:$L$30</definedName>
    <definedName name="Residuos_valorizables_2014">'Matriz Indicadores'!$G$31:$G$36</definedName>
    <definedName name="Residuos_valorizables_2015">'Matriz Indicadores'!$H$31:$H$36</definedName>
    <definedName name="Residuos_valorizables_2016">'Matriz Indicadores'!$I$31:$I$36</definedName>
    <definedName name="Residuos_valorizables_2017">'Matriz Indicadores'!$J$31:$J$36</definedName>
    <definedName name="Residuos_valorizables_2018">'Matriz Indicadores'!$K$31:$K$36</definedName>
    <definedName name="Residuos_valorizables_2019">'Matriz Indicadores'!$L$31:$L$36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0" i="14" l="1"/>
  <c r="B79" i="14"/>
  <c r="B78" i="14"/>
  <c r="B77" i="14"/>
  <c r="B76" i="14"/>
  <c r="F47" i="11"/>
  <c r="F46" i="11"/>
  <c r="F45" i="11"/>
  <c r="F44" i="11"/>
  <c r="F43" i="11"/>
  <c r="E47" i="11"/>
  <c r="E46" i="11"/>
  <c r="E45" i="11"/>
  <c r="E44" i="11"/>
  <c r="E43" i="11"/>
  <c r="D74" i="14"/>
  <c r="E74" i="14"/>
  <c r="F74" i="14"/>
  <c r="G74" i="14"/>
  <c r="H74" i="14"/>
  <c r="C74" i="14"/>
  <c r="E12" i="11"/>
  <c r="F12" i="11"/>
  <c r="M12" i="11"/>
  <c r="E11" i="21" l="1"/>
  <c r="I4" i="19"/>
  <c r="I4" i="18"/>
  <c r="I4" i="17"/>
  <c r="I4" i="16"/>
  <c r="I4" i="15"/>
  <c r="I4" i="20"/>
  <c r="B75" i="14"/>
  <c r="B74" i="14"/>
  <c r="E5" i="15"/>
  <c r="E6" i="11"/>
  <c r="F6" i="11"/>
  <c r="M6" i="11"/>
  <c r="E7" i="11"/>
  <c r="F7" i="11"/>
  <c r="M7" i="11"/>
  <c r="E8" i="11"/>
  <c r="F8" i="11"/>
  <c r="M8" i="11"/>
  <c r="E9" i="11"/>
  <c r="F9" i="11"/>
  <c r="M9" i="11"/>
  <c r="E10" i="11"/>
  <c r="F10" i="11"/>
  <c r="M10" i="11"/>
  <c r="E11" i="11"/>
  <c r="F11" i="11"/>
  <c r="M11" i="11"/>
  <c r="E13" i="11"/>
  <c r="F13" i="11"/>
  <c r="M13" i="11"/>
  <c r="E14" i="11"/>
  <c r="F14" i="11"/>
  <c r="M14" i="11"/>
  <c r="E15" i="11"/>
  <c r="F15" i="11"/>
  <c r="M15" i="11"/>
  <c r="E16" i="11"/>
  <c r="F16" i="11"/>
  <c r="M16" i="11"/>
  <c r="E17" i="11"/>
  <c r="F17" i="11"/>
  <c r="M17" i="11"/>
  <c r="E18" i="11"/>
  <c r="F18" i="11"/>
  <c r="M18" i="11"/>
  <c r="E19" i="11"/>
  <c r="F19" i="11"/>
  <c r="M19" i="11"/>
  <c r="E20" i="11"/>
  <c r="F20" i="11"/>
  <c r="M20" i="11"/>
  <c r="E21" i="11"/>
  <c r="F21" i="11"/>
  <c r="M21" i="11"/>
  <c r="E22" i="11"/>
  <c r="F22" i="11"/>
  <c r="M22" i="11"/>
  <c r="E23" i="11"/>
  <c r="F23" i="11"/>
  <c r="M23" i="11"/>
  <c r="E24" i="11"/>
  <c r="F24" i="11"/>
  <c r="M24" i="11"/>
  <c r="E25" i="11"/>
  <c r="F25" i="11"/>
  <c r="M25" i="11"/>
  <c r="E26" i="11"/>
  <c r="F26" i="11"/>
  <c r="M26" i="11"/>
  <c r="E27" i="11"/>
  <c r="F27" i="11"/>
  <c r="M27" i="11"/>
  <c r="E28" i="11"/>
  <c r="F28" i="11"/>
  <c r="M28" i="11"/>
  <c r="E29" i="11"/>
  <c r="F29" i="11"/>
  <c r="M29" i="11"/>
  <c r="E30" i="11"/>
  <c r="F30" i="11"/>
  <c r="M30" i="11"/>
  <c r="E31" i="11"/>
  <c r="F31" i="11"/>
  <c r="M31" i="11"/>
  <c r="E32" i="11"/>
  <c r="F32" i="11"/>
  <c r="M32" i="11"/>
  <c r="E33" i="11"/>
  <c r="F33" i="11"/>
  <c r="M33" i="11"/>
  <c r="E34" i="11"/>
  <c r="F34" i="11"/>
  <c r="M34" i="11"/>
  <c r="E35" i="11"/>
  <c r="F35" i="11"/>
  <c r="M35" i="11"/>
  <c r="E36" i="11"/>
  <c r="F36" i="11"/>
  <c r="M36" i="11"/>
  <c r="E37" i="11"/>
  <c r="F37" i="11"/>
  <c r="M37" i="11"/>
  <c r="E38" i="11"/>
  <c r="F38" i="11"/>
  <c r="M38" i="11"/>
  <c r="E39" i="11"/>
  <c r="F39" i="11"/>
  <c r="M39" i="11"/>
  <c r="E40" i="11"/>
  <c r="F40" i="11"/>
  <c r="M40" i="11"/>
  <c r="E41" i="11"/>
  <c r="F41" i="11"/>
  <c r="M41" i="11"/>
  <c r="E42" i="11"/>
  <c r="F42" i="11"/>
  <c r="M42" i="11"/>
  <c r="M43" i="11"/>
  <c r="M44" i="11"/>
  <c r="M45" i="11"/>
  <c r="M46" i="11"/>
  <c r="M47" i="11"/>
  <c r="E5" i="17" l="1"/>
  <c r="E5" i="18" s="1"/>
  <c r="E6" i="19" s="1"/>
  <c r="E7" i="21"/>
  <c r="E7" i="17" s="1"/>
  <c r="E7" i="18" s="1"/>
  <c r="E8" i="21"/>
  <c r="E7" i="20" s="1"/>
  <c r="E9" i="21"/>
  <c r="E8" i="20" s="1"/>
  <c r="E10" i="21"/>
  <c r="E10" i="17" s="1"/>
  <c r="E10" i="18" s="1"/>
  <c r="E5" i="19" s="1"/>
  <c r="E6" i="21"/>
  <c r="E6" i="17" s="1"/>
  <c r="E6" i="18" s="1"/>
  <c r="E7" i="19" s="1"/>
  <c r="E6" i="20" l="1"/>
  <c r="E5" i="20"/>
  <c r="E9" i="20"/>
  <c r="E9" i="17"/>
  <c r="E9" i="18" s="1"/>
  <c r="E9" i="19" s="1"/>
  <c r="E8" i="17"/>
  <c r="E8" i="18" s="1"/>
  <c r="E8" i="19" s="1"/>
  <c r="E7" i="15" l="1"/>
  <c r="E9" i="15"/>
  <c r="E12" i="15"/>
  <c r="E8" i="15"/>
  <c r="E6" i="15"/>
  <c r="E11" i="15"/>
  <c r="E10" i="15"/>
  <c r="H44" i="12"/>
  <c r="H80" i="14" s="1"/>
  <c r="H43" i="12"/>
  <c r="H79" i="14" s="1"/>
  <c r="H42" i="12"/>
  <c r="H78" i="14" s="1"/>
  <c r="H41" i="12"/>
  <c r="H77" i="14" s="1"/>
  <c r="H40" i="12"/>
  <c r="H76" i="14" s="1"/>
  <c r="H39" i="12"/>
  <c r="H75" i="14" s="1"/>
  <c r="H38" i="12"/>
  <c r="G44" i="12"/>
  <c r="G80" i="14" s="1"/>
  <c r="G43" i="12"/>
  <c r="G79" i="14" s="1"/>
  <c r="G42" i="12"/>
  <c r="G78" i="14" s="1"/>
  <c r="G41" i="12"/>
  <c r="G77" i="14" s="1"/>
  <c r="G40" i="12"/>
  <c r="G76" i="14" s="1"/>
  <c r="G39" i="12"/>
  <c r="G75" i="14" s="1"/>
  <c r="G38" i="12"/>
  <c r="F44" i="12"/>
  <c r="F80" i="14" s="1"/>
  <c r="F43" i="12"/>
  <c r="F79" i="14" s="1"/>
  <c r="F42" i="12"/>
  <c r="F78" i="14" s="1"/>
  <c r="F41" i="12"/>
  <c r="F77" i="14" s="1"/>
  <c r="F40" i="12"/>
  <c r="F76" i="14" s="1"/>
  <c r="F39" i="12"/>
  <c r="F75" i="14" s="1"/>
  <c r="F38" i="12"/>
  <c r="E44" i="12"/>
  <c r="E80" i="14" s="1"/>
  <c r="E43" i="12"/>
  <c r="E79" i="14" s="1"/>
  <c r="E42" i="12"/>
  <c r="E78" i="14" s="1"/>
  <c r="E41" i="12"/>
  <c r="E77" i="14" s="1"/>
  <c r="E40" i="12"/>
  <c r="E76" i="14" s="1"/>
  <c r="E39" i="12"/>
  <c r="E75" i="14" s="1"/>
  <c r="E38" i="12"/>
  <c r="D44" i="12"/>
  <c r="D80" i="14" s="1"/>
  <c r="D43" i="12"/>
  <c r="D79" i="14" s="1"/>
  <c r="D42" i="12"/>
  <c r="D78" i="14" s="1"/>
  <c r="D41" i="12"/>
  <c r="D77" i="14" s="1"/>
  <c r="D40" i="12"/>
  <c r="D76" i="14" s="1"/>
  <c r="D39" i="12"/>
  <c r="D75" i="14" s="1"/>
  <c r="D38" i="12"/>
  <c r="C44" i="12"/>
  <c r="C80" i="14" s="1"/>
  <c r="C43" i="12"/>
  <c r="C79" i="14" s="1"/>
  <c r="C42" i="12"/>
  <c r="C78" i="14" s="1"/>
  <c r="C41" i="12"/>
  <c r="C77" i="14" s="1"/>
  <c r="C40" i="12"/>
  <c r="C76" i="14" s="1"/>
  <c r="C39" i="12"/>
  <c r="C75" i="14" s="1"/>
  <c r="C38" i="12"/>
  <c r="D21" i="12"/>
  <c r="D56" i="14" s="1"/>
  <c r="D27" i="12"/>
  <c r="D62" i="14" s="1"/>
  <c r="H33" i="12"/>
  <c r="H68" i="14" s="1"/>
  <c r="H31" i="12"/>
  <c r="H66" i="14" s="1"/>
  <c r="H29" i="12"/>
  <c r="H64" i="14" s="1"/>
  <c r="H27" i="12"/>
  <c r="H62" i="14" s="1"/>
  <c r="H25" i="12"/>
  <c r="H60" i="14" s="1"/>
  <c r="H23" i="12"/>
  <c r="H58" i="14" s="1"/>
  <c r="G33" i="12"/>
  <c r="G68" i="14" s="1"/>
  <c r="G31" i="12"/>
  <c r="G66" i="14" s="1"/>
  <c r="G29" i="12"/>
  <c r="G64" i="14" s="1"/>
  <c r="G27" i="12"/>
  <c r="G62" i="14" s="1"/>
  <c r="G25" i="12"/>
  <c r="G60" i="14" s="1"/>
  <c r="G23" i="12"/>
  <c r="G58" i="14" s="1"/>
  <c r="F33" i="12"/>
  <c r="F68" i="14" s="1"/>
  <c r="F31" i="12"/>
  <c r="F29" i="12"/>
  <c r="F64" i="14" s="1"/>
  <c r="F27" i="12"/>
  <c r="F62" i="14" s="1"/>
  <c r="F25" i="12"/>
  <c r="F60" i="14" s="1"/>
  <c r="F23" i="12"/>
  <c r="E33" i="12"/>
  <c r="E68" i="14" s="1"/>
  <c r="E31" i="12"/>
  <c r="E66" i="14" s="1"/>
  <c r="E29" i="12"/>
  <c r="E27" i="12"/>
  <c r="E25" i="12"/>
  <c r="E60" i="14" s="1"/>
  <c r="E23" i="12"/>
  <c r="E58" i="14" s="1"/>
  <c r="D33" i="12"/>
  <c r="D68" i="14" s="1"/>
  <c r="D31" i="12"/>
  <c r="D66" i="14" s="1"/>
  <c r="D29" i="12"/>
  <c r="D64" i="14" s="1"/>
  <c r="D25" i="12"/>
  <c r="D60" i="14" s="1"/>
  <c r="D23" i="12"/>
  <c r="D58" i="14" s="1"/>
  <c r="C33" i="12"/>
  <c r="C68" i="14" s="1"/>
  <c r="C31" i="12"/>
  <c r="C66" i="14" s="1"/>
  <c r="C29" i="12"/>
  <c r="C64" i="14" s="1"/>
  <c r="C27" i="12"/>
  <c r="C62" i="14" s="1"/>
  <c r="C25" i="12"/>
  <c r="C60" i="14" s="1"/>
  <c r="C23" i="12"/>
  <c r="C58" i="14" s="1"/>
  <c r="C21" i="12"/>
  <c r="C56" i="14" s="1"/>
  <c r="H21" i="12"/>
  <c r="H56" i="14" s="1"/>
  <c r="G21" i="12"/>
  <c r="G56" i="14" s="1"/>
  <c r="F21" i="12"/>
  <c r="F56" i="14" s="1"/>
  <c r="E21" i="12"/>
  <c r="E56" i="14" s="1"/>
  <c r="E12" i="12"/>
  <c r="F12" i="12"/>
  <c r="D12" i="12"/>
  <c r="C5" i="12"/>
  <c r="C7" i="12" s="1"/>
  <c r="H5" i="12"/>
  <c r="H7" i="12" s="1"/>
  <c r="G5" i="12"/>
  <c r="G7" i="12" s="1"/>
  <c r="F5" i="12"/>
  <c r="F7" i="12" s="1"/>
  <c r="E5" i="12"/>
  <c r="E7" i="12" s="1"/>
  <c r="D5" i="12"/>
  <c r="D7" i="12" s="1"/>
  <c r="C12" i="12"/>
  <c r="G12" i="12"/>
  <c r="H12" i="12"/>
  <c r="D13" i="12"/>
  <c r="E13" i="12"/>
  <c r="F13" i="12"/>
  <c r="G13" i="12"/>
  <c r="H13" i="12"/>
  <c r="D14" i="12"/>
  <c r="E14" i="12"/>
  <c r="F14" i="12"/>
  <c r="G14" i="12"/>
  <c r="H14" i="12"/>
  <c r="D15" i="12"/>
  <c r="E15" i="12"/>
  <c r="F15" i="12"/>
  <c r="G15" i="12"/>
  <c r="H15" i="12"/>
  <c r="D16" i="12"/>
  <c r="E16" i="12"/>
  <c r="F16" i="12"/>
  <c r="G16" i="12"/>
  <c r="H16" i="12"/>
  <c r="C16" i="12"/>
  <c r="C15" i="12"/>
  <c r="C14" i="12"/>
  <c r="C13" i="12"/>
  <c r="F66" i="14"/>
  <c r="E64" i="14"/>
  <c r="E62" i="14"/>
  <c r="F58" i="14"/>
  <c r="G45" i="12" l="1"/>
  <c r="G81" i="14" s="1"/>
  <c r="E45" i="12"/>
  <c r="E81" i="14" s="1"/>
  <c r="H45" i="12"/>
  <c r="H81" i="14" s="1"/>
  <c r="F45" i="12"/>
  <c r="F81" i="14" s="1"/>
  <c r="D45" i="12"/>
  <c r="D81" i="14" s="1"/>
  <c r="C45" i="12"/>
  <c r="C81" i="14" s="1"/>
</calcChain>
</file>

<file path=xl/sharedStrings.xml><?xml version="1.0" encoding="utf-8"?>
<sst xmlns="http://schemas.openxmlformats.org/spreadsheetml/2006/main" count="345" uniqueCount="191">
  <si>
    <t>Responsable</t>
  </si>
  <si>
    <t>Municipalidad de Heredia</t>
  </si>
  <si>
    <t>Continuo</t>
  </si>
  <si>
    <t>Cumplimiento</t>
  </si>
  <si>
    <t>Plan Municipal de Gestión Integral de Residuos Sólidos</t>
  </si>
  <si>
    <t>Proyecto</t>
  </si>
  <si>
    <t>Indicador</t>
  </si>
  <si>
    <t>Meta</t>
  </si>
  <si>
    <t>Educación</t>
  </si>
  <si>
    <t>Incentivos y Multas</t>
  </si>
  <si>
    <t>Servicio de Recolección y Disposición Final</t>
  </si>
  <si>
    <t>Residuos No Tradicionales y Peligrosos</t>
  </si>
  <si>
    <t>Residuos Valorizables</t>
  </si>
  <si>
    <t>Limpieza de Vías</t>
  </si>
  <si>
    <t>Departamento de Aseo y Ornatos de Sitios Públicos</t>
  </si>
  <si>
    <t>Facilitación</t>
  </si>
  <si>
    <t>Avance</t>
  </si>
  <si>
    <t>Avance del Plan de Acción</t>
  </si>
  <si>
    <t>% del cumplimiento</t>
  </si>
  <si>
    <t>Avance promedio anual de todo el plan de acción</t>
  </si>
  <si>
    <t>% de los indicadores con 0%, 25%, 50%, 75% o 100% de avance</t>
  </si>
  <si>
    <t>Avance promedio de cada proyecto</t>
  </si>
  <si>
    <t xml:space="preserve">% indicadores con 0% avance </t>
  </si>
  <si>
    <t xml:space="preserve">% indicadores con 25% avance </t>
  </si>
  <si>
    <t xml:space="preserve">% indicadores con 50% avance </t>
  </si>
  <si>
    <t xml:space="preserve">% indicadores con 75% avance </t>
  </si>
  <si>
    <t xml:space="preserve">% indicadores con 100% avance </t>
  </si>
  <si>
    <t>Cantidad de indicadores por proyecto</t>
  </si>
  <si>
    <t>Avance anual en el cumplimiento de los objetivos</t>
  </si>
  <si>
    <t>Formulas</t>
  </si>
  <si>
    <t>SUMA</t>
  </si>
  <si>
    <t>Número de indicadores por proyecto</t>
  </si>
  <si>
    <t>Metas</t>
  </si>
  <si>
    <t>Indicadores</t>
  </si>
  <si>
    <t>Recursos</t>
  </si>
  <si>
    <t>Actividad</t>
  </si>
  <si>
    <t>Plan Municipal de Gestión Integral de Residuos Sólidos 2020 – 2025</t>
  </si>
  <si>
    <t>Proyecto: Sensibilización</t>
  </si>
  <si>
    <t>POA</t>
  </si>
  <si>
    <t>Número de capacitaciones realizadas</t>
  </si>
  <si>
    <t>5 capacitaciones / año</t>
  </si>
  <si>
    <t>Plan de Acción al Plan Municipal de GIRS 2020 - 2025</t>
  </si>
  <si>
    <t>Divulgar mensajes de sensibilización en sitios de aglomeración de personas: zonas francas, centros comerciales, centros turísticos, iglesias, estadios, transporte público, sitios de eventos masivos, salas de espera de lugares como Municipalidad, EBAIS, Hospitales, Clínicas, etc. Usar medios y espacios disponibles como pantallas, parlantes municipales, basureros y contenedores de vías públicas.</t>
  </si>
  <si>
    <t>Número de mensajes divulgados</t>
  </si>
  <si>
    <t>10 mensajes / año</t>
  </si>
  <si>
    <t>Número de campañas realizadas</t>
  </si>
  <si>
    <t>Número de "cambalaches heredianos" realizados</t>
  </si>
  <si>
    <t>Incentivar a la población para reutilizar y hacer compras inteligentes a través de una actividad llamada "cambalaches heredianos", que consiste en organizar comunidades para intercambiar artículos o materiales que ya no necesitan. Dichas actividades pueden ser realizadas en espacios públicos como parques, previa coordinación municipal.</t>
  </si>
  <si>
    <t>10 puntos de alcantarillado con mensajes / año</t>
  </si>
  <si>
    <t>Colocar mensajes de concientización en distintos puntos clave de alcantarillado del cantón.</t>
  </si>
  <si>
    <t>Número de puntos de alcantarillado donde se colocó el mensaje de concientización</t>
  </si>
  <si>
    <t>Objetivo específico: Motivar acciones de GIRS en la población, mediante reconocimientos e incentivos.</t>
  </si>
  <si>
    <t>Número de personas u organizaciones reconocidas</t>
  </si>
  <si>
    <t>5 personas u organizaciones reconocidas / año</t>
  </si>
  <si>
    <t>Proyecto: Incentivos</t>
  </si>
  <si>
    <t>Número de concursos realizados a nivel cantonal</t>
  </si>
  <si>
    <t>Ampliar el programa que brinda galardones a los comercios sostenibles, para que también aplique a empresas e instituciones del cantón.</t>
  </si>
  <si>
    <t>Número de empresas e instituciones incluidas en el galardón de sostenibilidad de la Municipalidad</t>
  </si>
  <si>
    <t>5 organizaciones / año</t>
  </si>
  <si>
    <t>Priorizar a comunidades ejemplares en GIRS para la asignación de recursos y/o proyectos innovadores que quiera implementar la Municipalidad.</t>
  </si>
  <si>
    <t>Asignación de recursos y/o proyectos innovadores en comunidades ejemplares en GIR</t>
  </si>
  <si>
    <t>Proyecto: Coordinación interinstitucional</t>
  </si>
  <si>
    <t>1 incentivo municipal aprobado y aplicado</t>
  </si>
  <si>
    <t>Dar continuidad al comité del PMGIRS a través de reuniones trimestrales, con el fin de coordinar planes de acción entre los distintos actores y dar el seguimiento correspondiente al PMGIRS.</t>
  </si>
  <si>
    <t>Número de reuniones realizadas por el Comité PMGIRS</t>
  </si>
  <si>
    <t>Número de nuevos actores clave en el Comité PMGIRS</t>
  </si>
  <si>
    <t>4 reuniones realizadas por el Comité PMGIRS / año</t>
  </si>
  <si>
    <t>Coordinar con el sector de transporte la colocación de recipientes de valorización en medios como buses y trenes.</t>
  </si>
  <si>
    <t>5 puntos ecológicos instalados en transporte público / año</t>
  </si>
  <si>
    <t>Número de campañas de recolección de residuos peligrosos</t>
  </si>
  <si>
    <t>2 campañas de recolección de residuos peligrosos / año</t>
  </si>
  <si>
    <t>Número de ferias de residuos valorizables</t>
  </si>
  <si>
    <t>1 feria de residuos valorizables / año</t>
  </si>
  <si>
    <t>Organizar una feria de residuos valorizables que permita comercializar o intercambiar residuos en buen estado, ofrecer artículos elaborados con residuos, vender bolsas de abono orgánico, etc. En coordinación con actores como las familias que son parte del programa de compostaje cantonal, las artesanas de Heredia por media calle, centros de adultos mayores que realicen manualidades, etc. Con este tipo de actividades también se promueve la creación de emprendimientos verdes que busquen el aprovechamiento de residuos.</t>
  </si>
  <si>
    <t>Número de voluntariados realizados</t>
  </si>
  <si>
    <t>2 voluntariados realizados / año</t>
  </si>
  <si>
    <t>Proyecto: Limpieza de vías</t>
  </si>
  <si>
    <t>Objetivo específico: Brindar un servicio adecuado de limpieza de vías.</t>
  </si>
  <si>
    <t>2021</t>
  </si>
  <si>
    <t>Número de inspecciones realizadas a los contenedores de basura del cantón</t>
  </si>
  <si>
    <t>Número de nuevos puntos de separación al año en el cantón</t>
  </si>
  <si>
    <t>10 canastas en alcantarillas / año</t>
  </si>
  <si>
    <t>Colocar canastas en las alcantarillas para realizar una recolección adicional de residuos.</t>
  </si>
  <si>
    <t>Número de canastas colocadas en las alcantarillas</t>
  </si>
  <si>
    <t>Colocar contenedores para el desecho de las excretas de las mascotas en vías y áreas públicas.</t>
  </si>
  <si>
    <t>Número de contenedores para desecho de las excretas de las mascotas colocados en el cantón</t>
  </si>
  <si>
    <t>Proyecto: Residuos valorizables</t>
  </si>
  <si>
    <t>Objetivo específico: Mejorar la valorización de residuos sólidos.</t>
  </si>
  <si>
    <t>Número de nuevas familias integradas al programa de compostaje cantonal</t>
  </si>
  <si>
    <t>Número de huertos urbanos y/o huertas comunitarias realizadas en el cantón</t>
  </si>
  <si>
    <t>2 huertos urbanos y/o huertas comunitarias realizadas en el cantón / año</t>
  </si>
  <si>
    <t>Realizar huertos urbanos y/o huertas comunitarias en el cantón para promover dicha práctica. Aprovechar recipientes como cajas plásticas, galones y botellas para promover la reutilización de estos materiales.</t>
  </si>
  <si>
    <t>Número de tutoriales o instructivos para aprovechamiento de materiales</t>
  </si>
  <si>
    <t>2 tutoriales o instructivos para aprovechamiento de materiales / año</t>
  </si>
  <si>
    <t>Número de convenios con personas u organizaciones que reciban abono orgánico</t>
  </si>
  <si>
    <t>Realizar convenios con personas u organizaciones que reciban abono orgánico de las familias que son parte del programa de compostaje cantonal, para que estas cuenten con una opción de colocar dicho material cuando ya en casa o en la comunidad no lo puedan utilizar.</t>
  </si>
  <si>
    <t>Número de nuevos materiales valorizables recibidos en la ruta de recolección y en los centros de recuperación temporal</t>
  </si>
  <si>
    <t>Número de sistemas de tratamiento para residuos orgánicos implementados en la Feria del Agricultor y/o Mercado Municipal.</t>
  </si>
  <si>
    <t>1 sistema de tratamiento para residuos orgánicos implementado en la Feria del Agricultor y/o Mercado Municipal</t>
  </si>
  <si>
    <t>Objetivo específico: Mejorar la gestión de los residuos no tradicionales.</t>
  </si>
  <si>
    <t>Proyecto: Residuos no tradicionales y botaderos clandestinos</t>
  </si>
  <si>
    <t>Número de organizaciones o grupos sociales vigilantes de los botaderos clandestinos</t>
  </si>
  <si>
    <t>9 organizaciones o grupos sociales vigilantes de los nueve botaderos clandestinos identificados por el personal municipal</t>
  </si>
  <si>
    <t>Colocar cámaras de vigilancia en los nueve botaderos clandestinos identificados.</t>
  </si>
  <si>
    <t>Número de cámaras de vigilancia</t>
  </si>
  <si>
    <t>Número de propuestas para valorar que el Municipio brinde el servicio de recolección de escombros</t>
  </si>
  <si>
    <t>Número de campañas de recolecciones de residuos de manejo especial</t>
  </si>
  <si>
    <t>Proyecto: Acciones en Varablanca</t>
  </si>
  <si>
    <t>Contar con módulos de separación en todos los centros educativos del distrito de Varablanca.</t>
  </si>
  <si>
    <t>Ampliar la frecuencia del funcionamiento del centro de recuperación temporal de residuos, de una a dos veces al mes.</t>
  </si>
  <si>
    <t>Promover las buenas prácticas con residuos orgánicos, composteras y abono orgánico en familias y/o organizaciones del distrito que trabajan con productos de la tierra.</t>
  </si>
  <si>
    <t>Módulos de separación en todos los centros educativos de Varablanca</t>
  </si>
  <si>
    <t>Número de días de funcionamiento del centro de recuperación temporal  de Varablanca</t>
  </si>
  <si>
    <t xml:space="preserve">Número de familias y/o organizaciones capacitadas en buenas prácticas con residuos orgánicos, composteras y abono orgánico </t>
  </si>
  <si>
    <t>3  familias y/o organizaciones capacitadas en buenas prácticas con residuos orgánicos, composteras y abono orgánico / año</t>
  </si>
  <si>
    <t>Número de reuniones realizadas entre el Comité de Varablanca y personal municipal</t>
  </si>
  <si>
    <t>Matriz de Indicadores del PMGIRS 2020 - 2025</t>
  </si>
  <si>
    <t>Objetivo específico: Implementar actividades transversales en conjunto con actores clave que faciliten una mejor GIRS.</t>
  </si>
  <si>
    <t>Sensibilización</t>
  </si>
  <si>
    <t>Justificación avance</t>
  </si>
  <si>
    <t>Incentivos</t>
  </si>
  <si>
    <t>Coordinación interinstitucional</t>
  </si>
  <si>
    <t>Limpieza de vías</t>
  </si>
  <si>
    <t>Residuos valorizables</t>
  </si>
  <si>
    <t>Residuos no tradicionales y botaderos clandestinos</t>
  </si>
  <si>
    <t>Acciones en Varablanca</t>
  </si>
  <si>
    <t>Objetivo específico: Sensibilizar en GIRS a los ciudadanos del Cantón de Heredia.</t>
  </si>
  <si>
    <t xml:space="preserve">Ejecutar un plan de capacitación dirigido a líderes y agentes de cambio, es decir, personas o grupos socialmente influyentes que puedan difundir el mensaje de GIRS: personal de centros educativos y guarderías, centros de adultos mayores, Asociaciones de Desarrollo, etc. Se pueden dar capacitaciones en el sitio o mediante recursos virtuales, en conjunto con el INA y la UNA. </t>
  </si>
  <si>
    <t>Implementar medidas de GIRS en todos los eventos masivos organizados por la Municipalidad, contar con información sobre el manejo de residuos y disponer de contenedores para separación.</t>
  </si>
  <si>
    <t>Totalidad de eventos masivos realizados con implementación de acciones en GIRS</t>
  </si>
  <si>
    <t>Dar a conocer a las personas u organizaciones que aplican buenas prácticas en GIRS y/o que cuenten con galardones ambientales. Usar medios como el sitio web y medios digitales de la Municipalidad.</t>
  </si>
  <si>
    <t>Valorar a nivel municipal aplicar al menos uno de los siguientes incentivos: 
• Facilidades en pago de patentes a comercios con buenas prácticas en GIRS.
• Incentivo tributario a familias y organizaciones que apoyen los programas de compostaje, reciclaje y otros que realiza el Municipio.
• Tarifas diferenciadas para quienes generan menos residuos que deban ser dispuestos en el relleno sanitario.
• Crear un incentivo municipal para que los contribuyentes puedan acumular puntos que se puedan canjear por servicios municipales como pago de servicios, impuestos o patentes, o puedan canjear por productos o servicios por medio de un convenio con comercios afiliados, cines, centros recreativos, y/o feria del agricultor. Se establecería un tope anual y dicha acumulación de puntos puede ser gestionada por medio de una aplicación digital o mediantes stickers y/o cupones que se le entregarían a los participantes.
• Implementar máquinas estacionarias recolectoras de residuos que reciban materiales valorizables y le brinden a la persona algún tipo de incentivo como por ejemplo cupones, comida para mascotas, tiempo de Wifi, o tiempo de estacionamiento.
• Asignar un puntaje a favor a los proveedores que implementen acciones en GIRS, a la hora de participar en contrataciones municipales.
• Entrega de bolsas para la correcta separación de los residuos a las familias y organizaciones que tengan buenas prácticas ambientales.</t>
  </si>
  <si>
    <t>Cantidad de incentivos municipales aplicados enfocados en GIRS</t>
  </si>
  <si>
    <t>Integrar al menos dos nuevos actores clave en el Comité de seguimiento para el PMGIRS 2020-2025 y procurar la continuidad de todos los actores participantes, de forma tal que si alguna persona debe salir del Comité realice una previa coordinación estableciendo a otra persona a cargo. Considerar a los siguientes actores clave para ser parte del comité: MEP, Ministerio de Salud, CCSS, INVU, IMAS, ESPH, INA, Café Britt, comités cantonales de Bandera Azul, grupos comunales y empresariales, dirigentes comunales y Fuerza Pública.</t>
  </si>
  <si>
    <t>Número de puntos ecológicos instalados en transporte público</t>
  </si>
  <si>
    <t>Calendarizar voluntariados coordinados por la Municipalidad donde se invite a toda la comunidad y las organizaciones del cantón para promover la GIRS mediante limpieza de ríos u otro tipo de actividades.</t>
  </si>
  <si>
    <t>Realizar tutoriales o instructivos sobre como las personas pueden aprovechar los materiales que tienen en el hogar antes de ser colocados para la recolección de residuos, por ejemplo realización de: composteras caseras con cajas plásticas o restos de madera, bolsas para hacer compras a partir de ropa dañada, sillones o mesas a partir de llantas viejas, uso de ecobloques para construcción de espacios públicos como paradas de buses o espacios externos en el hogar.</t>
  </si>
  <si>
    <t>Ampliar en al menos un tipo de material, la lista de residuos valorizables que se reciben en la ruta de recolección y en los centros de recuperación temporal.</t>
  </si>
  <si>
    <t>Contar con un sistema de tratamiento industrial para los residuos orgánicos en la Feria del Agricultor y/o Mercado Municipal.</t>
  </si>
  <si>
    <t>Contar con una organización o grupo social vigilante por cada botadero clandestino identificado. Crear un programa llamado “policías de la basura” que vigilen estos sitios en alianzas con comunidad, Fuerza Pública y centros educativos.</t>
  </si>
  <si>
    <t>Número de medios de denuncia para reportar malas prácticas en GIRS</t>
  </si>
  <si>
    <t>1 medio de denuncia inmediata para reportar malas prácticas en GIRS</t>
  </si>
  <si>
    <t>Objetivo específico: Reforzar acciones en GIRS en el distrito de Varablanca.</t>
  </si>
  <si>
    <t>Número de capacitaciones en GIRS en el distrito de Varablanca</t>
  </si>
  <si>
    <t>Contar con un Comité activo en GIRS en el distrito, a través del cual se puedan generar acciones en conjunto con la Municipalidad. Realizar reuniones, de forma presencial o remota, con personal municipal.</t>
  </si>
  <si>
    <t>1 concurso / año</t>
  </si>
  <si>
    <t>Gestión Integral de Residuos</t>
  </si>
  <si>
    <t>3 puntos nuevos de separación en vías y áreas públicas / año</t>
  </si>
  <si>
    <t>5 contenedores colocados / año</t>
  </si>
  <si>
    <t>1 convenio con personas u organizaciones que reciban abono orgánico</t>
  </si>
  <si>
    <t>1 nuevo tipo de material valorizable recibido en la ruta de recolección o en los centros de recuperación temporal</t>
  </si>
  <si>
    <t>Plan de acción elaborado y acciones ejecutadas en al menos el 70% de los botaderos clandestinos identificados por el personal municipal</t>
  </si>
  <si>
    <t>Al menos 5 cámaras de vigilancia colocadas en los botaderos clandestinos identificados por el personal municipal</t>
  </si>
  <si>
    <t>2 reuniones / año</t>
  </si>
  <si>
    <t>Generar una procedimiento y o propuesta a nivel municipal para la recolección de escombros en el cantón</t>
  </si>
  <si>
    <t>1 procedimiento o propuesta municipal para la recolección de escombros en el cantón</t>
  </si>
  <si>
    <t># total</t>
  </si>
  <si>
    <t># indiv</t>
  </si>
  <si>
    <t>Plan de acción elaborado y en ejecución</t>
  </si>
  <si>
    <t>2 nuevos actores clave incluídos y activos</t>
  </si>
  <si>
    <t>2 capacitaciones / año</t>
  </si>
  <si>
    <t>Realizar concursos a nivel cantonal de buenas prácticas en GIRS. Por ejemplo, se puede premiar al centro de recuperación de residuos, centro educativo, comercio, familia, funcionario, distrito, organización y/o comunidad del mes más comprometida en la GIRS del cantón.</t>
  </si>
  <si>
    <t>1 campaña / año</t>
  </si>
  <si>
    <t>1 "cambalache herediano" / año</t>
  </si>
  <si>
    <t>2022</t>
  </si>
  <si>
    <t>1 inspección realizada a todos los contenedores de basura del cantón / anual</t>
  </si>
  <si>
    <t>Realizar al menos una inspección al año de todos los contenedores de basura del cantón para verificar el estado óptimo de los mismos.</t>
  </si>
  <si>
    <t xml:space="preserve">Ampliar la colocación de contenedores de separación en vías y áreas públicas o sitios estratégicos </t>
  </si>
  <si>
    <t xml:space="preserve">3 contenedores/año </t>
  </si>
  <si>
    <t>Ampliar el cupo de familias que puedan integrarse al programa de compostaje cantonal.</t>
  </si>
  <si>
    <t>al menos 100 nuevas familias integradas al programa de compostaje cantonal / año</t>
  </si>
  <si>
    <t xml:space="preserve">Número de contenedores colocados al año </t>
  </si>
  <si>
    <t>Realizar un plan de acción para los nueve botaderos clandestinos identificados por la Municipalidad de Heredia, realizando acciones como: siembra de árboles, murales, zonas para niños, jardines urbanos, huertas comunitarias, notificaciones y sanciones a los propietarios, colocación de rótulos de sanción, cierre con malla de la propiedad, etc.</t>
  </si>
  <si>
    <t>4 campañas de recolección de residuos de manejo especial / año</t>
  </si>
  <si>
    <t>Impartir al menos 2 capacitaciones al año en GIRS donde se invite a todos los actores clave del distrito.</t>
  </si>
  <si>
    <t>26 días de funcionamiento del centro de recuperación temporal de Varablanca / año</t>
  </si>
  <si>
    <t>Solicitar planes de manejo de residuos al menos al 60% de las construcciones de obra mayor con Viabilidad Ambiental ejecutadas dentro del cantón</t>
  </si>
  <si>
    <t>Planificar campañas de sensibilización virtual o presencial, enfocadas en las siguientes temáticas: desperdicio de alimentos, sensibilización municipal tanto del personal directo como subcontratado, compostaje, residuos orgánicos, programa de compostaje cantonal, huertos urbanos, hidroponía, residuos valorizables, residuos no tradicionales, manejo de las excretas de mascotas, consecuencias ambientales de malas prácticas en GIRS, consumo responsable, huella ecológica, prácticas de GIRS en mi distrito, y destino de los residuos que se generan en el cantón. Se puede hacer uso de audios, videos, rotulaciones, perifoneos, eventos, mupis digitales, app municipal, sitio web y redes sociales.</t>
  </si>
  <si>
    <t>Realizar una gestión adecuada de los residuos de construcción en coordinación con actores clave de dicho sector, a través de solicitudes de planes de manejo de residuos a las grandes construcciones ejecutadas dentro del cantón.</t>
  </si>
  <si>
    <t>Coordinar con Fuerza Pública, MINAE y Ministerio de Salud para aprovechar las rondas de vigilancia que realizan en lugares clave del cantón y márgenes de ríos, para identificar los posibles infractores que gestionan de forma indebida los residuos.</t>
  </si>
  <si>
    <t>Coordinación constante con Fuerza Pública, MINAE y MinSalud.</t>
  </si>
  <si>
    <t>Implementar basureros o recipientes para colillas de cigarros en sitios estratégicos del cantón</t>
  </si>
  <si>
    <t>Gestión Integral de Residuos en coordinacion con Departamento de Aseo y Ornatos de Sitios Públicos</t>
  </si>
  <si>
    <t xml:space="preserve">Fecha de Inicio </t>
  </si>
  <si>
    <t xml:space="preserve">Habilitar un micrositio virtual de capacitaciones, información GIRS, cursos, tutoriales y demás recursos audiovisuales de facil acceso para el público </t>
  </si>
  <si>
    <t xml:space="preserve">Micrositio creado, habilitado, activo y actualizado </t>
  </si>
  <si>
    <t xml:space="preserve">1 micrositio activo y actualizado </t>
  </si>
  <si>
    <t>Crear un medio de denuncia de fácil acceso para la población a travéz de una plataforma, aplicación o micrositio de facil acceso, con el fin de hacer denuncias inmediatas sobre malas prácticas en GIRS, por ejemplo un número de whatsapp que sea atendido por personal municipal y se actúe en coordinación con Policía Municipal y/o Fuerza Pública.</t>
  </si>
  <si>
    <t>Mejorar el manejo de los residuos de manejo especial realizando campañas de recolecciones selectivas de llantas usadas, baterías, pilas, artefactos eléctricos de línea blanca, artefactos electrónicos, colchones, estereofón, aceties, fluorescentes, etc.</t>
  </si>
  <si>
    <t>Módulos de separación en todos los Centros Educatvos</t>
  </si>
  <si>
    <t>Realizar campañas de recolección de residuos peligrosos en conjunto con sectores clave, como por ejemplo el sector de salud público y privado para recolección de medicamentos vencidos y/o con el sector comercial y la ESPH para la recolección de cartuchos de tintas y baterías,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</si>
</sst>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0"/>
      <name val="Arial Narrow"/>
      <family val="2"/>
    </font>
    <font>
      <sz val="10"/>
      <name val="Arial Narrow"/>
      <family val="2"/>
    </font>
    <font>
      <b/>
      <sz val="14"/>
      <name val="Arial Narrow"/>
      <family val="2"/>
    </font>
    <font>
      <b/>
      <sz val="10"/>
      <name val="Arial"/>
      <family val="2"/>
    </font>
    <font>
      <sz val="10"/>
      <name val="Arial"/>
      <family val="2"/>
    </font>
    <font>
      <sz val="14"/>
      <name val="Arial"/>
      <family val="2"/>
    </font>
    <font>
      <sz val="8"/>
      <name val="Arial"/>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42">
    <xf numFmtId="0" fontId="0" fillId="0" borderId="0" xfId="0"/>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49" fontId="2" fillId="2"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17" fontId="2" fillId="2" borderId="3" xfId="0" applyNumberFormat="1" applyFont="1" applyFill="1" applyBorder="1" applyAlignment="1">
      <alignment horizontal="left"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3" xfId="0" applyFont="1" applyFill="1" applyBorder="1" applyAlignment="1">
      <alignment vertical="center" wrapText="1"/>
    </xf>
    <xf numFmtId="49" fontId="2" fillId="2" borderId="6" xfId="0" applyNumberFormat="1"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1" fontId="0" fillId="0" borderId="0" xfId="0" applyNumberFormat="1" applyFill="1" applyBorder="1" applyAlignment="1">
      <alignment horizontal="center" vertical="center"/>
    </xf>
    <xf numFmtId="0" fontId="1"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0" fillId="0" borderId="4" xfId="0" applyFill="1" applyBorder="1" applyAlignment="1">
      <alignment vertical="center"/>
    </xf>
    <xf numFmtId="1" fontId="0" fillId="0" borderId="4" xfId="0" applyNumberFormat="1" applyFill="1" applyBorder="1" applyAlignment="1">
      <alignment vertical="center"/>
    </xf>
    <xf numFmtId="0" fontId="0" fillId="4" borderId="0" xfId="0" applyFill="1" applyBorder="1" applyAlignment="1">
      <alignment horizontal="center" vertical="center"/>
    </xf>
    <xf numFmtId="0" fontId="0" fillId="5" borderId="0" xfId="0" applyFill="1" applyBorder="1" applyAlignment="1">
      <alignment horizontal="center" vertical="center"/>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8" borderId="0" xfId="0" applyFill="1" applyBorder="1" applyAlignment="1">
      <alignment horizontal="center" vertical="center"/>
    </xf>
    <xf numFmtId="0" fontId="1" fillId="2" borderId="4" xfId="0" applyFont="1" applyFill="1" applyBorder="1" applyAlignment="1">
      <alignment horizontal="left" vertical="center" wrapText="1"/>
    </xf>
    <xf numFmtId="0" fontId="4" fillId="2" borderId="4" xfId="0" applyFont="1" applyFill="1" applyBorder="1" applyAlignment="1">
      <alignment horizontal="center" vertical="center"/>
    </xf>
    <xf numFmtId="0" fontId="1"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0" fillId="2" borderId="0" xfId="0" applyFill="1"/>
    <xf numFmtId="0" fontId="2" fillId="2" borderId="0" xfId="0" applyFont="1" applyFill="1" applyBorder="1" applyAlignment="1">
      <alignment horizontal="left" vertical="center" wrapText="1"/>
    </xf>
    <xf numFmtId="0" fontId="0" fillId="2" borderId="4" xfId="0" applyFill="1" applyBorder="1" applyAlignment="1">
      <alignment vertical="center"/>
    </xf>
    <xf numFmtId="1" fontId="0" fillId="2" borderId="0" xfId="0" applyNumberFormat="1" applyFill="1" applyBorder="1" applyAlignment="1">
      <alignment horizontal="center" vertical="center"/>
    </xf>
    <xf numFmtId="1" fontId="0" fillId="2" borderId="4" xfId="0" applyNumberFormat="1" applyFill="1" applyBorder="1" applyAlignment="1">
      <alignment vertical="center"/>
    </xf>
    <xf numFmtId="0" fontId="6" fillId="2" borderId="0" xfId="0" applyFont="1" applyFill="1" applyBorder="1" applyAlignment="1">
      <alignment vertical="center"/>
    </xf>
    <xf numFmtId="0" fontId="1" fillId="2" borderId="4" xfId="0" applyFont="1" applyFill="1" applyBorder="1" applyAlignment="1">
      <alignment horizontal="left" vertical="center"/>
    </xf>
    <xf numFmtId="0" fontId="0" fillId="2" borderId="4" xfId="0" applyFill="1" applyBorder="1"/>
    <xf numFmtId="0" fontId="5" fillId="2" borderId="0" xfId="0" applyFont="1" applyFill="1"/>
    <xf numFmtId="0" fontId="0" fillId="0" borderId="0" xfId="0" applyFill="1" applyAlignment="1">
      <alignment vertical="center"/>
    </xf>
    <xf numFmtId="0" fontId="6" fillId="0" borderId="0" xfId="0" applyFont="1" applyFill="1" applyBorder="1" applyAlignment="1">
      <alignment vertical="center"/>
    </xf>
    <xf numFmtId="0" fontId="0" fillId="0" borderId="0" xfId="0" applyFill="1"/>
    <xf numFmtId="0" fontId="1" fillId="2" borderId="4" xfId="0" applyFont="1" applyFill="1" applyBorder="1" applyAlignment="1">
      <alignment horizontal="right" vertical="center"/>
    </xf>
    <xf numFmtId="0" fontId="0" fillId="0" borderId="0" xfId="0" applyFill="1" applyAlignment="1">
      <alignment horizontal="center" vertical="center"/>
    </xf>
    <xf numFmtId="0" fontId="0" fillId="2" borderId="0" xfId="0" applyFill="1" applyAlignment="1">
      <alignment horizontal="center" vertical="center"/>
    </xf>
    <xf numFmtId="0" fontId="5" fillId="0" borderId="0" xfId="0" applyFont="1" applyFill="1" applyAlignment="1">
      <alignment vertical="center"/>
    </xf>
    <xf numFmtId="0" fontId="4" fillId="0" borderId="12" xfId="0" applyFont="1" applyFill="1" applyBorder="1" applyAlignment="1">
      <alignment vertical="center"/>
    </xf>
    <xf numFmtId="0" fontId="4" fillId="0" borderId="12" xfId="0" applyFont="1" applyFill="1" applyBorder="1" applyAlignment="1">
      <alignment horizontal="center" vertical="center"/>
    </xf>
    <xf numFmtId="0" fontId="4" fillId="2" borderId="0" xfId="0" applyFont="1" applyFill="1" applyBorder="1" applyAlignment="1">
      <alignment vertical="center"/>
    </xf>
    <xf numFmtId="0" fontId="2" fillId="2" borderId="4" xfId="0" applyFont="1" applyFill="1" applyBorder="1" applyAlignment="1">
      <alignment horizontal="left" vertical="center" wrapText="1"/>
    </xf>
    <xf numFmtId="0" fontId="0" fillId="2" borderId="4" xfId="0" applyFill="1" applyBorder="1" applyAlignment="1">
      <alignment horizontal="center" vertical="center"/>
    </xf>
    <xf numFmtId="0" fontId="2" fillId="0" borderId="0" xfId="0" applyFont="1" applyAlignment="1">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0" xfId="0" applyFont="1" applyBorder="1" applyAlignment="1">
      <alignment vertical="center"/>
    </xf>
    <xf numFmtId="0" fontId="1" fillId="0" borderId="4" xfId="0" applyFont="1" applyBorder="1" applyAlignment="1">
      <alignment horizontal="right" vertical="center"/>
    </xf>
    <xf numFmtId="0" fontId="2" fillId="0" borderId="4" xfId="0" applyFont="1" applyBorder="1" applyAlignment="1">
      <alignment vertical="center"/>
    </xf>
    <xf numFmtId="49" fontId="2" fillId="2" borderId="14" xfId="0" applyNumberFormat="1" applyFont="1" applyFill="1" applyBorder="1" applyAlignment="1">
      <alignment horizontal="left" vertical="center" wrapText="1"/>
    </xf>
    <xf numFmtId="49" fontId="2" fillId="0" borderId="0" xfId="0" applyNumberFormat="1" applyFont="1" applyAlignment="1">
      <alignment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 fillId="0" borderId="4" xfId="0" applyFont="1" applyBorder="1" applyAlignment="1">
      <alignment horizontal="left" vertical="center"/>
    </xf>
    <xf numFmtId="0" fontId="2" fillId="0" borderId="1" xfId="0" applyFont="1" applyFill="1" applyBorder="1" applyAlignment="1">
      <alignment horizontal="left" vertical="center" wrapText="1"/>
    </xf>
    <xf numFmtId="3" fontId="2" fillId="0" borderId="1" xfId="0" applyNumberFormat="1" applyFont="1" applyBorder="1" applyAlignment="1">
      <alignment horizontal="left" vertical="center" wrapText="1"/>
    </xf>
    <xf numFmtId="3" fontId="2" fillId="0" borderId="14" xfId="0" applyNumberFormat="1" applyFont="1" applyFill="1" applyBorder="1" applyAlignment="1">
      <alignment horizontal="left" vertical="center" wrapText="1"/>
    </xf>
    <xf numFmtId="0" fontId="1" fillId="3" borderId="9" xfId="0" applyFont="1" applyFill="1" applyBorder="1" applyAlignment="1">
      <alignment horizontal="center" vertical="center" wrapText="1"/>
    </xf>
    <xf numFmtId="0" fontId="2" fillId="0" borderId="13" xfId="0" applyFont="1" applyBorder="1" applyAlignment="1">
      <alignment vertical="center" wrapText="1"/>
    </xf>
    <xf numFmtId="0" fontId="2" fillId="0" borderId="2" xfId="0" applyFont="1" applyFill="1" applyBorder="1" applyAlignment="1">
      <alignment horizontal="center" vertical="center" wrapText="1"/>
    </xf>
    <xf numFmtId="49" fontId="2" fillId="0" borderId="3" xfId="0" applyNumberFormat="1" applyFont="1" applyFill="1" applyBorder="1" applyAlignment="1">
      <alignment vertical="center" wrapText="1"/>
    </xf>
    <xf numFmtId="0" fontId="3"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17" fontId="2" fillId="2"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2" fillId="0" borderId="20" xfId="0" applyFont="1" applyBorder="1" applyAlignment="1">
      <alignment vertical="center" wrapText="1"/>
    </xf>
    <xf numFmtId="49" fontId="2" fillId="2" borderId="23" xfId="0" applyNumberFormat="1" applyFont="1" applyFill="1" applyBorder="1" applyAlignment="1">
      <alignment vertical="center" wrapText="1"/>
    </xf>
    <xf numFmtId="0" fontId="2"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5" fillId="0" borderId="0" xfId="0" applyFont="1"/>
    <xf numFmtId="0" fontId="1" fillId="3" borderId="9"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0" borderId="2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5" xfId="0" applyFont="1" applyBorder="1" applyAlignment="1">
      <alignment horizontal="left" vertical="center" wrapText="1"/>
    </xf>
    <xf numFmtId="0" fontId="1" fillId="0" borderId="4" xfId="0" applyFont="1" applyBorder="1" applyAlignment="1">
      <alignment horizontal="right" vertical="center" wrapText="1"/>
    </xf>
    <xf numFmtId="0" fontId="1" fillId="0" borderId="4" xfId="0" applyFont="1" applyBorder="1" applyAlignment="1">
      <alignment horizontal="left"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1" fillId="3" borderId="26" xfId="0" applyFont="1" applyFill="1" applyBorder="1" applyAlignment="1">
      <alignment horizontal="center" vertical="center" wrapText="1"/>
    </xf>
    <xf numFmtId="0" fontId="2" fillId="0" borderId="27" xfId="0" applyFont="1" applyBorder="1" applyAlignment="1">
      <alignment horizontal="center" vertical="center" wrapText="1"/>
    </xf>
    <xf numFmtId="0" fontId="0" fillId="0" borderId="1" xfId="0" applyBorder="1" applyAlignment="1">
      <alignment horizontal="center" vertical="center"/>
    </xf>
    <xf numFmtId="0" fontId="2" fillId="0" borderId="13" xfId="0" applyFont="1" applyBorder="1" applyAlignment="1">
      <alignment horizontal="center" vertical="center" wrapText="1"/>
    </xf>
    <xf numFmtId="0" fontId="1" fillId="3"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28" xfId="0" applyFont="1" applyBorder="1" applyAlignment="1">
      <alignment horizontal="left" vertical="center" wrapText="1"/>
    </xf>
    <xf numFmtId="0" fontId="1" fillId="3"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3" xfId="0" applyBorder="1" applyAlignment="1">
      <alignment horizontal="center" vertical="center"/>
    </xf>
    <xf numFmtId="0" fontId="2" fillId="0" borderId="24" xfId="0" applyFont="1" applyBorder="1" applyAlignment="1">
      <alignment horizontal="center" vertical="center" wrapText="1"/>
    </xf>
  </cellXfs>
  <cellStyles count="1">
    <cellStyle name="Normal" xfId="0" builtinId="0"/>
  </cellStyles>
  <dxfs count="1">
    <dxf>
      <fill>
        <patternFill patternType="solid">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invertIfNegative val="0"/>
          <c:dPt>
            <c:idx val="0"/>
            <c:invertIfNegative val="0"/>
            <c:bubble3D val="0"/>
            <c:spPr>
              <a:noFill/>
            </c:spPr>
            <c:extLst>
              <c:ext xmlns:c16="http://schemas.microsoft.com/office/drawing/2014/chart" uri="{C3380CC4-5D6E-409C-BE32-E72D297353CC}">
                <c16:uniqueId val="{00000001-38BF-4BFE-B605-824ABA84BBE0}"/>
              </c:ext>
            </c:extLst>
          </c:dPt>
          <c:cat>
            <c:numRef>
              <c:f>Formulas!$C$4:$H$4</c:f>
              <c:numCache>
                <c:formatCode>General</c:formatCode>
                <c:ptCount val="6"/>
                <c:pt idx="0">
                  <c:v>2020</c:v>
                </c:pt>
                <c:pt idx="1">
                  <c:v>2021</c:v>
                </c:pt>
                <c:pt idx="2">
                  <c:v>2022</c:v>
                </c:pt>
                <c:pt idx="3">
                  <c:v>2023</c:v>
                </c:pt>
                <c:pt idx="4">
                  <c:v>2024</c:v>
                </c:pt>
                <c:pt idx="5">
                  <c:v>2025</c:v>
                </c:pt>
              </c:numCache>
            </c:numRef>
          </c:cat>
          <c:val>
            <c:numRef>
              <c:f>'Cuadro de mando'!#REF!</c:f>
              <c:numCache>
                <c:formatCode>General</c:formatCode>
                <c:ptCount val="1"/>
                <c:pt idx="0">
                  <c:v>1</c:v>
                </c:pt>
              </c:numCache>
            </c:numRef>
          </c:val>
          <c:extLst>
            <c:ext xmlns:c16="http://schemas.microsoft.com/office/drawing/2014/chart" uri="{C3380CC4-5D6E-409C-BE32-E72D297353CC}">
              <c16:uniqueId val="{00000002-38BF-4BFE-B605-824ABA84BBE0}"/>
            </c:ext>
          </c:extLst>
        </c:ser>
        <c:ser>
          <c:idx val="1"/>
          <c:order val="1"/>
          <c:spPr>
            <a:noFill/>
            <a:ln>
              <a:noFill/>
            </a:ln>
          </c:spPr>
          <c:invertIfNegative val="0"/>
          <c:cat>
            <c:numRef>
              <c:f>Formulas!$C$4:$H$4</c:f>
              <c:numCache>
                <c:formatCode>General</c:formatCode>
                <c:ptCount val="6"/>
                <c:pt idx="0">
                  <c:v>2020</c:v>
                </c:pt>
                <c:pt idx="1">
                  <c:v>2021</c:v>
                </c:pt>
                <c:pt idx="2">
                  <c:v>2022</c:v>
                </c:pt>
                <c:pt idx="3">
                  <c:v>2023</c:v>
                </c:pt>
                <c:pt idx="4">
                  <c:v>2024</c:v>
                </c:pt>
                <c:pt idx="5">
                  <c:v>2025</c:v>
                </c:pt>
              </c:numCache>
            </c:numRef>
          </c:cat>
          <c:val>
            <c:numRef>
              <c:f>Formulas!$C$5:$H$5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38BF-4BFE-B605-824ABA84BBE0}"/>
            </c:ext>
          </c:extLst>
        </c:ser>
        <c:ser>
          <c:idx val="2"/>
          <c:order val="2"/>
          <c:spPr>
            <a:solidFill>
              <a:prstClr val="black"/>
            </a:solidFill>
          </c:spPr>
          <c:invertIfNegative val="0"/>
          <c:dPt>
            <c:idx val="0"/>
            <c:invertIfNegative val="0"/>
            <c:bubble3D val="0"/>
            <c:spPr>
              <a:solidFill>
                <a:prstClr val="black"/>
              </a:solidFill>
              <a:ln w="0" cap="rnd">
                <a:noFill/>
                <a:round/>
              </a:ln>
            </c:spPr>
            <c:extLst>
              <c:ext xmlns:c16="http://schemas.microsoft.com/office/drawing/2014/chart" uri="{C3380CC4-5D6E-409C-BE32-E72D297353CC}">
                <c16:uniqueId val="{00000005-38BF-4BFE-B605-824ABA84BBE0}"/>
              </c:ext>
            </c:extLst>
          </c:dPt>
          <c:cat>
            <c:numRef>
              <c:f>Formulas!$C$4:$H$4</c:f>
              <c:numCache>
                <c:formatCode>General</c:formatCode>
                <c:ptCount val="6"/>
                <c:pt idx="0">
                  <c:v>2020</c:v>
                </c:pt>
                <c:pt idx="1">
                  <c:v>2021</c:v>
                </c:pt>
                <c:pt idx="2">
                  <c:v>2022</c:v>
                </c:pt>
                <c:pt idx="3">
                  <c:v>2023</c:v>
                </c:pt>
                <c:pt idx="4">
                  <c:v>2024</c:v>
                </c:pt>
                <c:pt idx="5">
                  <c:v>2025</c:v>
                </c:pt>
              </c:numCache>
            </c:numRef>
          </c:cat>
          <c:val>
            <c:numRef>
              <c:f>Formulas!$C$6:$H$6</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6-38BF-4BFE-B605-824ABA84BBE0}"/>
            </c:ext>
          </c:extLst>
        </c:ser>
        <c:ser>
          <c:idx val="3"/>
          <c:order val="3"/>
          <c:invertIfNegative val="0"/>
          <c:dPt>
            <c:idx val="0"/>
            <c:invertIfNegative val="0"/>
            <c:bubble3D val="0"/>
            <c:spPr>
              <a:noFill/>
              <a:ln>
                <a:noFill/>
              </a:ln>
            </c:spPr>
            <c:extLst>
              <c:ext xmlns:c16="http://schemas.microsoft.com/office/drawing/2014/chart" uri="{C3380CC4-5D6E-409C-BE32-E72D297353CC}">
                <c16:uniqueId val="{00000008-38BF-4BFE-B605-824ABA84BBE0}"/>
              </c:ext>
            </c:extLst>
          </c:dPt>
          <c:dPt>
            <c:idx val="1"/>
            <c:invertIfNegative val="0"/>
            <c:bubble3D val="0"/>
            <c:spPr>
              <a:noFill/>
            </c:spPr>
            <c:extLst>
              <c:ext xmlns:c16="http://schemas.microsoft.com/office/drawing/2014/chart" uri="{C3380CC4-5D6E-409C-BE32-E72D297353CC}">
                <c16:uniqueId val="{0000000A-38BF-4BFE-B605-824ABA84BBE0}"/>
              </c:ext>
            </c:extLst>
          </c:dPt>
          <c:dPt>
            <c:idx val="2"/>
            <c:invertIfNegative val="0"/>
            <c:bubble3D val="0"/>
            <c:spPr>
              <a:noFill/>
            </c:spPr>
            <c:extLst>
              <c:ext xmlns:c16="http://schemas.microsoft.com/office/drawing/2014/chart" uri="{C3380CC4-5D6E-409C-BE32-E72D297353CC}">
                <c16:uniqueId val="{0000000C-38BF-4BFE-B605-824ABA84BBE0}"/>
              </c:ext>
            </c:extLst>
          </c:dPt>
          <c:dPt>
            <c:idx val="3"/>
            <c:invertIfNegative val="0"/>
            <c:bubble3D val="0"/>
            <c:spPr>
              <a:noFill/>
            </c:spPr>
            <c:extLst>
              <c:ext xmlns:c16="http://schemas.microsoft.com/office/drawing/2014/chart" uri="{C3380CC4-5D6E-409C-BE32-E72D297353CC}">
                <c16:uniqueId val="{0000000E-38BF-4BFE-B605-824ABA84BBE0}"/>
              </c:ext>
            </c:extLst>
          </c:dPt>
          <c:dPt>
            <c:idx val="4"/>
            <c:invertIfNegative val="0"/>
            <c:bubble3D val="0"/>
            <c:spPr>
              <a:noFill/>
            </c:spPr>
            <c:extLst>
              <c:ext xmlns:c16="http://schemas.microsoft.com/office/drawing/2014/chart" uri="{C3380CC4-5D6E-409C-BE32-E72D297353CC}">
                <c16:uniqueId val="{00000010-38BF-4BFE-B605-824ABA84BBE0}"/>
              </c:ext>
            </c:extLst>
          </c:dPt>
          <c:dPt>
            <c:idx val="5"/>
            <c:invertIfNegative val="0"/>
            <c:bubble3D val="0"/>
            <c:spPr>
              <a:noFill/>
            </c:spPr>
            <c:extLst>
              <c:ext xmlns:c16="http://schemas.microsoft.com/office/drawing/2014/chart" uri="{C3380CC4-5D6E-409C-BE32-E72D297353CC}">
                <c16:uniqueId val="{00000012-38BF-4BFE-B605-824ABA84BBE0}"/>
              </c:ext>
            </c:extLst>
          </c:dPt>
          <c:cat>
            <c:numRef>
              <c:f>Formulas!$C$4:$H$4</c:f>
              <c:numCache>
                <c:formatCode>General</c:formatCode>
                <c:ptCount val="6"/>
                <c:pt idx="0">
                  <c:v>2020</c:v>
                </c:pt>
                <c:pt idx="1">
                  <c:v>2021</c:v>
                </c:pt>
                <c:pt idx="2">
                  <c:v>2022</c:v>
                </c:pt>
                <c:pt idx="3">
                  <c:v>2023</c:v>
                </c:pt>
                <c:pt idx="4">
                  <c:v>2024</c:v>
                </c:pt>
                <c:pt idx="5">
                  <c:v>2025</c:v>
                </c:pt>
              </c:numCache>
            </c:numRef>
          </c:cat>
          <c:val>
            <c:numRef>
              <c:f>Formulas!$C$7:$H$7</c:f>
              <c:numCache>
                <c:formatCode>0</c:formatCode>
                <c:ptCount val="6"/>
                <c:pt idx="0">
                  <c:v>99</c:v>
                </c:pt>
                <c:pt idx="1">
                  <c:v>99</c:v>
                </c:pt>
                <c:pt idx="2">
                  <c:v>99</c:v>
                </c:pt>
                <c:pt idx="3">
                  <c:v>99</c:v>
                </c:pt>
                <c:pt idx="4">
                  <c:v>99</c:v>
                </c:pt>
                <c:pt idx="5">
                  <c:v>99</c:v>
                </c:pt>
              </c:numCache>
            </c:numRef>
          </c:val>
          <c:extLst>
            <c:ext xmlns:c16="http://schemas.microsoft.com/office/drawing/2014/chart" uri="{C3380CC4-5D6E-409C-BE32-E72D297353CC}">
              <c16:uniqueId val="{00000013-38BF-4BFE-B605-824ABA84BBE0}"/>
            </c:ext>
          </c:extLst>
        </c:ser>
        <c:dLbls>
          <c:showLegendKey val="0"/>
          <c:showVal val="0"/>
          <c:showCatName val="0"/>
          <c:showSerName val="0"/>
          <c:showPercent val="0"/>
          <c:showBubbleSize val="0"/>
        </c:dLbls>
        <c:gapWidth val="12"/>
        <c:overlap val="100"/>
        <c:axId val="180585392"/>
        <c:axId val="180581472"/>
      </c:barChart>
      <c:catAx>
        <c:axId val="180585392"/>
        <c:scaling>
          <c:orientation val="maxMin"/>
        </c:scaling>
        <c:delete val="0"/>
        <c:axPos val="l"/>
        <c:numFmt formatCode="General" sourceLinked="1"/>
        <c:majorTickMark val="out"/>
        <c:minorTickMark val="none"/>
        <c:tickLblPos val="nextTo"/>
        <c:spPr>
          <a:noFill/>
          <a:ln w="0">
            <a:noFill/>
          </a:ln>
        </c:spPr>
        <c:txPr>
          <a:bodyPr/>
          <a:lstStyle/>
          <a:p>
            <a:pPr>
              <a:defRPr b="1"/>
            </a:pPr>
            <a:endParaRPr lang="es-CR"/>
          </a:p>
        </c:txPr>
        <c:crossAx val="180581472"/>
        <c:crosses val="autoZero"/>
        <c:auto val="1"/>
        <c:lblAlgn val="ctr"/>
        <c:lblOffset val="100"/>
        <c:noMultiLvlLbl val="0"/>
      </c:catAx>
      <c:valAx>
        <c:axId val="180581472"/>
        <c:scaling>
          <c:orientation val="minMax"/>
          <c:max val="100"/>
          <c:min val="0"/>
        </c:scaling>
        <c:delete val="0"/>
        <c:axPos val="t"/>
        <c:majorGridlines>
          <c:spPr>
            <a:ln w="0"/>
          </c:spPr>
        </c:majorGridlines>
        <c:numFmt formatCode="General" sourceLinked="1"/>
        <c:majorTickMark val="none"/>
        <c:minorTickMark val="none"/>
        <c:tickLblPos val="nextTo"/>
        <c:spPr>
          <a:ln>
            <a:noFill/>
          </a:ln>
        </c:spPr>
        <c:crossAx val="180585392"/>
        <c:crosses val="autoZero"/>
        <c:crossBetween val="between"/>
        <c:majorUnit val="100"/>
        <c:minorUnit val="4"/>
      </c:valAx>
      <c:spPr>
        <a:noFill/>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Formulas!$B$12</c:f>
              <c:strCache>
                <c:ptCount val="1"/>
                <c:pt idx="0">
                  <c:v>% indicadores con 0% avance </c:v>
                </c:pt>
              </c:strCache>
            </c:strRef>
          </c:tx>
          <c:spPr>
            <a:solidFill>
              <a:srgbClr val="FF0000"/>
            </a:solidFill>
          </c:spPr>
          <c:invertIfNegative val="0"/>
          <c:dLbls>
            <c:delete val="1"/>
          </c:dLbls>
          <c:cat>
            <c:numRef>
              <c:f>Formulas!$C$10:$H$10</c:f>
              <c:numCache>
                <c:formatCode>General</c:formatCode>
                <c:ptCount val="6"/>
                <c:pt idx="0">
                  <c:v>2020</c:v>
                </c:pt>
                <c:pt idx="1">
                  <c:v>2021</c:v>
                </c:pt>
                <c:pt idx="2">
                  <c:v>2022</c:v>
                </c:pt>
                <c:pt idx="3">
                  <c:v>2023</c:v>
                </c:pt>
                <c:pt idx="4">
                  <c:v>2024</c:v>
                </c:pt>
                <c:pt idx="5">
                  <c:v>2025</c:v>
                </c:pt>
              </c:numCache>
            </c:numRef>
          </c:cat>
          <c:val>
            <c:numRef>
              <c:f>Formulas!$C$12:$H$12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A16-4CF9-8686-741E1F4CBB00}"/>
            </c:ext>
          </c:extLst>
        </c:ser>
        <c:ser>
          <c:idx val="1"/>
          <c:order val="1"/>
          <c:tx>
            <c:strRef>
              <c:f>Formulas!$B$13</c:f>
              <c:strCache>
                <c:ptCount val="1"/>
                <c:pt idx="0">
                  <c:v>% indicadores con 25% avance </c:v>
                </c:pt>
              </c:strCache>
            </c:strRef>
          </c:tx>
          <c:spPr>
            <a:solidFill>
              <a:srgbClr val="FFC000"/>
            </a:solidFill>
          </c:spPr>
          <c:invertIfNegative val="0"/>
          <c:dLbls>
            <c:delete val="1"/>
          </c:dLbls>
          <c:cat>
            <c:numRef>
              <c:f>Formulas!$C$10:$H$10</c:f>
              <c:numCache>
                <c:formatCode>General</c:formatCode>
                <c:ptCount val="6"/>
                <c:pt idx="0">
                  <c:v>2020</c:v>
                </c:pt>
                <c:pt idx="1">
                  <c:v>2021</c:v>
                </c:pt>
                <c:pt idx="2">
                  <c:v>2022</c:v>
                </c:pt>
                <c:pt idx="3">
                  <c:v>2023</c:v>
                </c:pt>
                <c:pt idx="4">
                  <c:v>2024</c:v>
                </c:pt>
                <c:pt idx="5">
                  <c:v>2025</c:v>
                </c:pt>
              </c:numCache>
            </c:numRef>
          </c:cat>
          <c:val>
            <c:numRef>
              <c:f>Formulas!$C$13:$H$13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A16-4CF9-8686-741E1F4CBB00}"/>
            </c:ext>
          </c:extLst>
        </c:ser>
        <c:ser>
          <c:idx val="2"/>
          <c:order val="2"/>
          <c:tx>
            <c:strRef>
              <c:f>Formulas!$B$14</c:f>
              <c:strCache>
                <c:ptCount val="1"/>
                <c:pt idx="0">
                  <c:v>% indicadores con 50% avance </c:v>
                </c:pt>
              </c:strCache>
            </c:strRef>
          </c:tx>
          <c:spPr>
            <a:solidFill>
              <a:srgbClr val="FFFF00"/>
            </a:solidFill>
          </c:spPr>
          <c:invertIfNegative val="0"/>
          <c:dLbls>
            <c:delete val="1"/>
          </c:dLbls>
          <c:cat>
            <c:numRef>
              <c:f>Formulas!$C$10:$H$10</c:f>
              <c:numCache>
                <c:formatCode>General</c:formatCode>
                <c:ptCount val="6"/>
                <c:pt idx="0">
                  <c:v>2020</c:v>
                </c:pt>
                <c:pt idx="1">
                  <c:v>2021</c:v>
                </c:pt>
                <c:pt idx="2">
                  <c:v>2022</c:v>
                </c:pt>
                <c:pt idx="3">
                  <c:v>2023</c:v>
                </c:pt>
                <c:pt idx="4">
                  <c:v>2024</c:v>
                </c:pt>
                <c:pt idx="5">
                  <c:v>2025</c:v>
                </c:pt>
              </c:numCache>
            </c:numRef>
          </c:cat>
          <c:val>
            <c:numRef>
              <c:f>Formulas!$C$14:$H$14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A16-4CF9-8686-741E1F4CBB00}"/>
            </c:ext>
          </c:extLst>
        </c:ser>
        <c:ser>
          <c:idx val="3"/>
          <c:order val="3"/>
          <c:tx>
            <c:strRef>
              <c:f>Formulas!$B$15</c:f>
              <c:strCache>
                <c:ptCount val="1"/>
                <c:pt idx="0">
                  <c:v>% indicadores con 75% avance </c:v>
                </c:pt>
              </c:strCache>
            </c:strRef>
          </c:tx>
          <c:spPr>
            <a:solidFill>
              <a:srgbClr val="92D050"/>
            </a:solidFill>
          </c:spPr>
          <c:invertIfNegative val="0"/>
          <c:dLbls>
            <c:delete val="1"/>
          </c:dLbls>
          <c:cat>
            <c:numRef>
              <c:f>Formulas!$C$10:$H$10</c:f>
              <c:numCache>
                <c:formatCode>General</c:formatCode>
                <c:ptCount val="6"/>
                <c:pt idx="0">
                  <c:v>2020</c:v>
                </c:pt>
                <c:pt idx="1">
                  <c:v>2021</c:v>
                </c:pt>
                <c:pt idx="2">
                  <c:v>2022</c:v>
                </c:pt>
                <c:pt idx="3">
                  <c:v>2023</c:v>
                </c:pt>
                <c:pt idx="4">
                  <c:v>2024</c:v>
                </c:pt>
                <c:pt idx="5">
                  <c:v>2025</c:v>
                </c:pt>
              </c:numCache>
            </c:numRef>
          </c:cat>
          <c:val>
            <c:numRef>
              <c:f>Formulas!$C$15:$H$15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A16-4CF9-8686-741E1F4CBB00}"/>
            </c:ext>
          </c:extLst>
        </c:ser>
        <c:ser>
          <c:idx val="4"/>
          <c:order val="4"/>
          <c:tx>
            <c:strRef>
              <c:f>Formulas!$B$16</c:f>
              <c:strCache>
                <c:ptCount val="1"/>
                <c:pt idx="0">
                  <c:v>% indicadores con 100% avance </c:v>
                </c:pt>
              </c:strCache>
            </c:strRef>
          </c:tx>
          <c:spPr>
            <a:solidFill>
              <a:srgbClr val="00B050"/>
            </a:solidFill>
          </c:spPr>
          <c:invertIfNegative val="0"/>
          <c:dLbls>
            <c:delete val="1"/>
          </c:dLbls>
          <c:cat>
            <c:numRef>
              <c:f>Formulas!$C$10:$H$10</c:f>
              <c:numCache>
                <c:formatCode>General</c:formatCode>
                <c:ptCount val="6"/>
                <c:pt idx="0">
                  <c:v>2020</c:v>
                </c:pt>
                <c:pt idx="1">
                  <c:v>2021</c:v>
                </c:pt>
                <c:pt idx="2">
                  <c:v>2022</c:v>
                </c:pt>
                <c:pt idx="3">
                  <c:v>2023</c:v>
                </c:pt>
                <c:pt idx="4">
                  <c:v>2024</c:v>
                </c:pt>
                <c:pt idx="5">
                  <c:v>2025</c:v>
                </c:pt>
              </c:numCache>
            </c:numRef>
          </c:cat>
          <c:val>
            <c:numRef>
              <c:f>Formulas!$C$16:$H$16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CA16-4CF9-8686-741E1F4CBB00}"/>
            </c:ext>
          </c:extLst>
        </c:ser>
        <c:dLbls>
          <c:showLegendKey val="0"/>
          <c:showVal val="1"/>
          <c:showCatName val="0"/>
          <c:showSerName val="0"/>
          <c:showPercent val="0"/>
          <c:showBubbleSize val="0"/>
        </c:dLbls>
        <c:gapWidth val="40"/>
        <c:overlap val="100"/>
        <c:axId val="180584608"/>
        <c:axId val="180585784"/>
      </c:barChart>
      <c:catAx>
        <c:axId val="180584608"/>
        <c:scaling>
          <c:orientation val="maxMin"/>
        </c:scaling>
        <c:delete val="0"/>
        <c:axPos val="l"/>
        <c:numFmt formatCode="General" sourceLinked="1"/>
        <c:majorTickMark val="none"/>
        <c:minorTickMark val="none"/>
        <c:tickLblPos val="nextTo"/>
        <c:txPr>
          <a:bodyPr/>
          <a:lstStyle/>
          <a:p>
            <a:pPr>
              <a:defRPr b="1"/>
            </a:pPr>
            <a:endParaRPr lang="es-CR"/>
          </a:p>
        </c:txPr>
        <c:crossAx val="180585784"/>
        <c:crosses val="autoZero"/>
        <c:auto val="1"/>
        <c:lblAlgn val="ctr"/>
        <c:lblOffset val="100"/>
        <c:noMultiLvlLbl val="0"/>
      </c:catAx>
      <c:valAx>
        <c:axId val="180585784"/>
        <c:scaling>
          <c:orientation val="minMax"/>
        </c:scaling>
        <c:delete val="0"/>
        <c:axPos val="t"/>
        <c:numFmt formatCode="0%" sourceLinked="1"/>
        <c:majorTickMark val="none"/>
        <c:minorTickMark val="none"/>
        <c:tickLblPos val="nextTo"/>
        <c:crossAx val="180584608"/>
        <c:crosses val="autoZero"/>
        <c:crossBetween val="between"/>
      </c:valAx>
    </c:plotArea>
    <c:legend>
      <c:legendPos val="b"/>
      <c:layout>
        <c:manualLayout>
          <c:xMode val="edge"/>
          <c:yMode val="edge"/>
          <c:x val="1.4505963903833278E-2"/>
          <c:y val="0.79558545526276858"/>
          <c:w val="0.93830833363024191"/>
          <c:h val="0.18353771801489324"/>
        </c:manualLayout>
      </c:layout>
      <c:overlay val="0"/>
    </c:legend>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5</xdr:row>
      <xdr:rowOff>129540</xdr:rowOff>
    </xdr:from>
    <xdr:to>
      <xdr:col>8</xdr:col>
      <xdr:colOff>129540</xdr:colOff>
      <xdr:row>24</xdr:row>
      <xdr:rowOff>45720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52400" y="1986915"/>
          <a:ext cx="4796790" cy="2992755"/>
          <a:chOff x="1074420" y="6682740"/>
          <a:chExt cx="4312920" cy="3101340"/>
        </a:xfrm>
      </xdr:grpSpPr>
      <xdr:sp macro="" textlink="">
        <xdr:nvSpPr>
          <xdr:cNvPr id="3" name="Rectangle 2">
            <a:extLst>
              <a:ext uri="{FF2B5EF4-FFF2-40B4-BE49-F238E27FC236}">
                <a16:creationId xmlns:a16="http://schemas.microsoft.com/office/drawing/2014/main" id="{00000000-0008-0000-0000-000003000000}"/>
              </a:ext>
            </a:extLst>
          </xdr:cNvPr>
          <xdr:cNvSpPr/>
        </xdr:nvSpPr>
        <xdr:spPr>
          <a:xfrm>
            <a:off x="1478537" y="9273540"/>
            <a:ext cx="3703109" cy="304800"/>
          </a:xfrm>
          <a:prstGeom prst="rect">
            <a:avLst/>
          </a:prstGeom>
          <a:gradFill flip="none" rotWithShape="1">
            <a:gsLst>
              <a:gs pos="0">
                <a:srgbClr val="FF0000"/>
              </a:gs>
              <a:gs pos="25000">
                <a:srgbClr val="FFC000"/>
              </a:gs>
              <a:gs pos="50000">
                <a:srgbClr val="FFFF00"/>
              </a:gs>
              <a:gs pos="75000">
                <a:srgbClr val="92D050"/>
              </a:gs>
              <a:gs pos="100000">
                <a:srgbClr val="00B05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4" name="Rectangle 3">
            <a:extLst>
              <a:ext uri="{FF2B5EF4-FFF2-40B4-BE49-F238E27FC236}">
                <a16:creationId xmlns:a16="http://schemas.microsoft.com/office/drawing/2014/main" id="{00000000-0008-0000-0000-000004000000}"/>
              </a:ext>
            </a:extLst>
          </xdr:cNvPr>
          <xdr:cNvSpPr/>
        </xdr:nvSpPr>
        <xdr:spPr>
          <a:xfrm>
            <a:off x="1478537" y="8823960"/>
            <a:ext cx="3703109" cy="304800"/>
          </a:xfrm>
          <a:prstGeom prst="rect">
            <a:avLst/>
          </a:prstGeom>
          <a:gradFill flip="none" rotWithShape="1">
            <a:gsLst>
              <a:gs pos="0">
                <a:srgbClr val="FF0000"/>
              </a:gs>
              <a:gs pos="25000">
                <a:srgbClr val="FFC000"/>
              </a:gs>
              <a:gs pos="50000">
                <a:srgbClr val="FFFF00"/>
              </a:gs>
              <a:gs pos="75000">
                <a:srgbClr val="92D050"/>
              </a:gs>
              <a:gs pos="100000">
                <a:srgbClr val="00B05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78537" y="8389620"/>
            <a:ext cx="3703109" cy="304800"/>
          </a:xfrm>
          <a:prstGeom prst="rect">
            <a:avLst/>
          </a:prstGeom>
          <a:gradFill flip="none" rotWithShape="1">
            <a:gsLst>
              <a:gs pos="0">
                <a:srgbClr val="FF0000"/>
              </a:gs>
              <a:gs pos="25000">
                <a:srgbClr val="FFC000"/>
              </a:gs>
              <a:gs pos="50000">
                <a:srgbClr val="FFFF00"/>
              </a:gs>
              <a:gs pos="75000">
                <a:srgbClr val="92D050"/>
              </a:gs>
              <a:gs pos="100000">
                <a:srgbClr val="00B05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6" name="Rectangle 5">
            <a:extLst>
              <a:ext uri="{FF2B5EF4-FFF2-40B4-BE49-F238E27FC236}">
                <a16:creationId xmlns:a16="http://schemas.microsoft.com/office/drawing/2014/main" id="{00000000-0008-0000-0000-000006000000}"/>
              </a:ext>
            </a:extLst>
          </xdr:cNvPr>
          <xdr:cNvSpPr/>
        </xdr:nvSpPr>
        <xdr:spPr>
          <a:xfrm>
            <a:off x="1478537" y="7947660"/>
            <a:ext cx="3703109" cy="304800"/>
          </a:xfrm>
          <a:prstGeom prst="rect">
            <a:avLst/>
          </a:prstGeom>
          <a:gradFill flip="none" rotWithShape="1">
            <a:gsLst>
              <a:gs pos="0">
                <a:srgbClr val="FF0000"/>
              </a:gs>
              <a:gs pos="25000">
                <a:srgbClr val="FFC000"/>
              </a:gs>
              <a:gs pos="50000">
                <a:srgbClr val="FFFF00"/>
              </a:gs>
              <a:gs pos="75000">
                <a:srgbClr val="92D050"/>
              </a:gs>
              <a:gs pos="100000">
                <a:srgbClr val="00B05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78537" y="7505700"/>
            <a:ext cx="3703109" cy="304800"/>
          </a:xfrm>
          <a:prstGeom prst="rect">
            <a:avLst/>
          </a:prstGeom>
          <a:gradFill flip="none" rotWithShape="1">
            <a:gsLst>
              <a:gs pos="0">
                <a:srgbClr val="FF0000"/>
              </a:gs>
              <a:gs pos="25000">
                <a:srgbClr val="FFC000"/>
              </a:gs>
              <a:gs pos="50000">
                <a:srgbClr val="FFFF00"/>
              </a:gs>
              <a:gs pos="75000">
                <a:srgbClr val="92D050"/>
              </a:gs>
              <a:gs pos="100000">
                <a:srgbClr val="00B05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8" name="Rectangle 7">
            <a:extLst>
              <a:ext uri="{FF2B5EF4-FFF2-40B4-BE49-F238E27FC236}">
                <a16:creationId xmlns:a16="http://schemas.microsoft.com/office/drawing/2014/main" id="{00000000-0008-0000-0000-000008000000}"/>
              </a:ext>
            </a:extLst>
          </xdr:cNvPr>
          <xdr:cNvSpPr/>
        </xdr:nvSpPr>
        <xdr:spPr>
          <a:xfrm>
            <a:off x="1478537" y="7063740"/>
            <a:ext cx="3703109" cy="304800"/>
          </a:xfrm>
          <a:prstGeom prst="rect">
            <a:avLst/>
          </a:prstGeom>
          <a:gradFill flip="none" rotWithShape="1">
            <a:gsLst>
              <a:gs pos="0">
                <a:srgbClr val="FF0000"/>
              </a:gs>
              <a:gs pos="25000">
                <a:srgbClr val="FFC000"/>
              </a:gs>
              <a:gs pos="50000">
                <a:srgbClr val="FFFF00"/>
              </a:gs>
              <a:gs pos="75000">
                <a:srgbClr val="92D050"/>
              </a:gs>
              <a:gs pos="100000">
                <a:srgbClr val="00B05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1074420" y="6682740"/>
          <a:ext cx="4312920" cy="310134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0</xdr:col>
      <xdr:colOff>121920</xdr:colOff>
      <xdr:row>29</xdr:row>
      <xdr:rowOff>38100</xdr:rowOff>
    </xdr:from>
    <xdr:to>
      <xdr:col>8</xdr:col>
      <xdr:colOff>198120</xdr:colOff>
      <xdr:row>51</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114300</xdr:colOff>
      <xdr:row>0</xdr:row>
      <xdr:rowOff>114301</xdr:rowOff>
    </xdr:from>
    <xdr:to>
      <xdr:col>1</xdr:col>
      <xdr:colOff>944131</xdr:colOff>
      <xdr:row>0</xdr:row>
      <xdr:rowOff>742951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75" y="114301"/>
          <a:ext cx="829831"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81"/>
  <sheetViews>
    <sheetView zoomScaleNormal="100" workbookViewId="0">
      <selection activeCell="C81" sqref="C81"/>
    </sheetView>
  </sheetViews>
  <sheetFormatPr baseColWidth="10" defaultColWidth="8.85546875" defaultRowHeight="12.75" x14ac:dyDescent="0.2"/>
  <cols>
    <col min="1" max="1" width="2.7109375" style="45" customWidth="1"/>
    <col min="2" max="2" width="31.85546875" style="45" customWidth="1"/>
    <col min="3" max="8" width="6.28515625" style="45" customWidth="1"/>
    <col min="9" max="16384" width="8.85546875" style="45"/>
  </cols>
  <sheetData>
    <row r="1" spans="2:8" ht="70.900000000000006" customHeight="1" x14ac:dyDescent="0.2"/>
    <row r="2" spans="2:8" ht="18" x14ac:dyDescent="0.2">
      <c r="B2" s="50" t="s">
        <v>41</v>
      </c>
    </row>
    <row r="3" spans="2:8" ht="24.6" customHeight="1" x14ac:dyDescent="0.2"/>
    <row r="4" spans="2:8" ht="17.45" customHeight="1" thickBot="1" x14ac:dyDescent="0.25">
      <c r="B4" s="51" t="s">
        <v>17</v>
      </c>
      <c r="C4" s="52"/>
      <c r="D4" s="52"/>
      <c r="E4" s="52"/>
      <c r="F4" s="52"/>
      <c r="G4" s="52"/>
      <c r="H4" s="52"/>
    </row>
    <row r="5" spans="2:8" ht="16.899999999999999" customHeight="1" x14ac:dyDescent="0.2">
      <c r="B5" s="53" t="s">
        <v>19</v>
      </c>
    </row>
    <row r="27" spans="2:8" ht="18" customHeight="1" thickBot="1" x14ac:dyDescent="0.25">
      <c r="B27" s="51" t="s">
        <v>28</v>
      </c>
      <c r="C27" s="52"/>
      <c r="D27" s="57"/>
      <c r="E27" s="57"/>
      <c r="F27" s="52"/>
      <c r="G27" s="52"/>
      <c r="H27" s="52"/>
    </row>
    <row r="28" spans="2:8" ht="19.149999999999999" customHeight="1" x14ac:dyDescent="0.2">
      <c r="B28" s="53" t="s">
        <v>20</v>
      </c>
    </row>
    <row r="29" spans="2:8" x14ac:dyDescent="0.2">
      <c r="B29" s="53"/>
    </row>
    <row r="54" spans="2:8" ht="18.600000000000001" customHeight="1" thickBot="1" x14ac:dyDescent="0.25">
      <c r="B54" s="41" t="s">
        <v>21</v>
      </c>
      <c r="C54" s="42">
        <v>2020</v>
      </c>
      <c r="D54" s="42">
        <v>2021</v>
      </c>
      <c r="E54" s="42">
        <v>2022</v>
      </c>
      <c r="F54" s="42">
        <v>2023</v>
      </c>
      <c r="G54" s="42">
        <v>2024</v>
      </c>
      <c r="H54" s="42">
        <v>2025</v>
      </c>
    </row>
    <row r="55" spans="2:8" ht="7.15" customHeight="1" x14ac:dyDescent="0.2">
      <c r="B55" s="43"/>
      <c r="C55" s="44"/>
      <c r="D55" s="44"/>
      <c r="E55" s="44"/>
      <c r="F55" s="44"/>
      <c r="G55" s="44"/>
      <c r="H55" s="44"/>
    </row>
    <row r="56" spans="2:8" ht="25.15" customHeight="1" x14ac:dyDescent="0.2">
      <c r="B56" s="46" t="s">
        <v>118</v>
      </c>
      <c r="C56" s="48" t="str">
        <f>Formulas!C21</f>
        <v>-</v>
      </c>
      <c r="D56" s="48" t="str">
        <f>Formulas!D21</f>
        <v>-</v>
      </c>
      <c r="E56" s="48" t="str">
        <f>Formulas!E21</f>
        <v>-</v>
      </c>
      <c r="F56" s="48" t="str">
        <f>Formulas!F21</f>
        <v>-</v>
      </c>
      <c r="G56" s="48" t="str">
        <f>Formulas!G21</f>
        <v>-</v>
      </c>
      <c r="H56" s="48" t="str">
        <f>Formulas!H21</f>
        <v>-</v>
      </c>
    </row>
    <row r="57" spans="2:8" ht="7.15" customHeight="1" x14ac:dyDescent="0.2">
      <c r="B57" s="46"/>
      <c r="C57" s="48"/>
      <c r="D57" s="48"/>
      <c r="E57" s="48"/>
      <c r="F57" s="48"/>
      <c r="G57" s="48"/>
      <c r="H57" s="48"/>
    </row>
    <row r="58" spans="2:8" ht="25.15" customHeight="1" x14ac:dyDescent="0.2">
      <c r="B58" s="46" t="s">
        <v>120</v>
      </c>
      <c r="C58" s="48" t="str">
        <f>Formulas!C23</f>
        <v>-</v>
      </c>
      <c r="D58" s="48" t="str">
        <f>Formulas!D23</f>
        <v>-</v>
      </c>
      <c r="E58" s="48" t="str">
        <f>Formulas!E23</f>
        <v>-</v>
      </c>
      <c r="F58" s="48" t="str">
        <f>Formulas!F23</f>
        <v>-</v>
      </c>
      <c r="G58" s="48" t="str">
        <f>Formulas!G23</f>
        <v>-</v>
      </c>
      <c r="H58" s="48" t="str">
        <f>Formulas!H23</f>
        <v>-</v>
      </c>
    </row>
    <row r="59" spans="2:8" ht="7.15" customHeight="1" x14ac:dyDescent="0.2">
      <c r="B59" s="46"/>
      <c r="C59" s="48"/>
      <c r="D59" s="48"/>
      <c r="E59" s="48"/>
      <c r="F59" s="48"/>
      <c r="G59" s="48"/>
      <c r="H59" s="48"/>
    </row>
    <row r="60" spans="2:8" ht="25.15" customHeight="1" x14ac:dyDescent="0.2">
      <c r="B60" s="46" t="s">
        <v>121</v>
      </c>
      <c r="C60" s="48" t="str">
        <f>Formulas!C25</f>
        <v>-</v>
      </c>
      <c r="D60" s="48" t="str">
        <f>Formulas!D25</f>
        <v>-</v>
      </c>
      <c r="E60" s="48" t="str">
        <f>Formulas!E25</f>
        <v>-</v>
      </c>
      <c r="F60" s="48" t="str">
        <f>Formulas!F25</f>
        <v>-</v>
      </c>
      <c r="G60" s="48" t="str">
        <f>Formulas!G25</f>
        <v>-</v>
      </c>
      <c r="H60" s="48" t="str">
        <f>Formulas!H25</f>
        <v>-</v>
      </c>
    </row>
    <row r="61" spans="2:8" ht="7.15" customHeight="1" x14ac:dyDescent="0.2">
      <c r="B61" s="46"/>
      <c r="C61" s="48"/>
      <c r="D61" s="48"/>
      <c r="E61" s="48"/>
      <c r="F61" s="48"/>
      <c r="G61" s="48"/>
      <c r="H61" s="48"/>
    </row>
    <row r="62" spans="2:8" ht="25.15" customHeight="1" x14ac:dyDescent="0.2">
      <c r="B62" s="46" t="s">
        <v>122</v>
      </c>
      <c r="C62" s="48" t="str">
        <f>Formulas!C27</f>
        <v>-</v>
      </c>
      <c r="D62" s="48" t="str">
        <f>Formulas!D27</f>
        <v>-</v>
      </c>
      <c r="E62" s="48" t="str">
        <f>Formulas!E27</f>
        <v>-</v>
      </c>
      <c r="F62" s="48" t="str">
        <f>Formulas!F27</f>
        <v>-</v>
      </c>
      <c r="G62" s="48" t="str">
        <f>Formulas!G27</f>
        <v>-</v>
      </c>
      <c r="H62" s="48" t="str">
        <f>Formulas!H27</f>
        <v>-</v>
      </c>
    </row>
    <row r="63" spans="2:8" ht="7.15" customHeight="1" x14ac:dyDescent="0.2">
      <c r="B63" s="46"/>
      <c r="C63" s="48"/>
      <c r="D63" s="48"/>
      <c r="E63" s="48"/>
      <c r="F63" s="48"/>
      <c r="G63" s="48"/>
      <c r="H63" s="48"/>
    </row>
    <row r="64" spans="2:8" ht="25.15" customHeight="1" x14ac:dyDescent="0.2">
      <c r="B64" s="46" t="s">
        <v>123</v>
      </c>
      <c r="C64" s="48" t="str">
        <f>Formulas!C29</f>
        <v>-</v>
      </c>
      <c r="D64" s="48" t="str">
        <f>Formulas!D29</f>
        <v>-</v>
      </c>
      <c r="E64" s="48" t="str">
        <f>Formulas!E29</f>
        <v>-</v>
      </c>
      <c r="F64" s="48" t="str">
        <f>Formulas!F29</f>
        <v>-</v>
      </c>
      <c r="G64" s="48" t="str">
        <f>Formulas!G29</f>
        <v>-</v>
      </c>
      <c r="H64" s="48" t="str">
        <f>Formulas!H29</f>
        <v>-</v>
      </c>
    </row>
    <row r="65" spans="2:8" ht="7.15" customHeight="1" x14ac:dyDescent="0.2">
      <c r="B65" s="46"/>
      <c r="C65" s="48"/>
      <c r="D65" s="48"/>
      <c r="E65" s="48"/>
      <c r="F65" s="48"/>
      <c r="G65" s="48"/>
      <c r="H65" s="48"/>
    </row>
    <row r="66" spans="2:8" ht="25.15" customHeight="1" x14ac:dyDescent="0.2">
      <c r="B66" s="46" t="s">
        <v>124</v>
      </c>
      <c r="C66" s="48" t="str">
        <f>Formulas!C31</f>
        <v>-</v>
      </c>
      <c r="D66" s="48" t="str">
        <f>Formulas!D31</f>
        <v>-</v>
      </c>
      <c r="E66" s="48" t="str">
        <f>Formulas!E31</f>
        <v>-</v>
      </c>
      <c r="F66" s="48" t="str">
        <f>Formulas!F31</f>
        <v>-</v>
      </c>
      <c r="G66" s="48" t="str">
        <f>Formulas!G31</f>
        <v>-</v>
      </c>
      <c r="H66" s="48" t="str">
        <f>Formulas!H31</f>
        <v>-</v>
      </c>
    </row>
    <row r="67" spans="2:8" ht="7.15" customHeight="1" x14ac:dyDescent="0.2">
      <c r="B67" s="46"/>
      <c r="C67" s="48"/>
      <c r="D67" s="48"/>
      <c r="E67" s="48"/>
      <c r="F67" s="48"/>
      <c r="G67" s="48"/>
      <c r="H67" s="48"/>
    </row>
    <row r="68" spans="2:8" ht="25.15" customHeight="1" x14ac:dyDescent="0.2">
      <c r="B68" s="46" t="s">
        <v>125</v>
      </c>
      <c r="C68" s="48" t="str">
        <f>Formulas!C33</f>
        <v>-</v>
      </c>
      <c r="D68" s="48" t="str">
        <f>Formulas!D33</f>
        <v>-</v>
      </c>
      <c r="E68" s="48" t="str">
        <f>Formulas!E33</f>
        <v>-</v>
      </c>
      <c r="F68" s="48" t="str">
        <f>Formulas!F33</f>
        <v>-</v>
      </c>
      <c r="G68" s="48" t="str">
        <f>Formulas!G33</f>
        <v>-</v>
      </c>
      <c r="H68" s="48" t="str">
        <f>Formulas!H33</f>
        <v>-</v>
      </c>
    </row>
    <row r="69" spans="2:8" ht="7.15" customHeight="1" thickBot="1" x14ac:dyDescent="0.25">
      <c r="B69" s="47"/>
      <c r="C69" s="49"/>
      <c r="D69" s="49"/>
      <c r="E69" s="49"/>
      <c r="F69" s="49"/>
      <c r="G69" s="49"/>
      <c r="H69" s="49"/>
    </row>
    <row r="72" spans="2:8" ht="19.149999999999999" customHeight="1" thickBot="1" x14ac:dyDescent="0.25">
      <c r="B72" s="41" t="s">
        <v>27</v>
      </c>
      <c r="C72" s="42">
        <v>2020</v>
      </c>
      <c r="D72" s="42">
        <v>2021</v>
      </c>
      <c r="E72" s="42">
        <v>2022</v>
      </c>
      <c r="F72" s="42">
        <v>2023</v>
      </c>
      <c r="G72" s="42">
        <v>2024</v>
      </c>
      <c r="H72" s="42">
        <v>2025</v>
      </c>
    </row>
    <row r="73" spans="2:8" ht="7.15" customHeight="1" x14ac:dyDescent="0.2">
      <c r="B73" s="43"/>
      <c r="C73" s="44"/>
      <c r="D73" s="44"/>
      <c r="E73" s="44"/>
      <c r="F73" s="44"/>
      <c r="G73" s="44"/>
      <c r="H73" s="44"/>
    </row>
    <row r="74" spans="2:8" ht="19.899999999999999" customHeight="1" x14ac:dyDescent="0.2">
      <c r="B74" s="46" t="str">
        <f>+B56</f>
        <v>Sensibilización</v>
      </c>
      <c r="C74" s="59">
        <f>+'Matriz Indicadores'!$C$12</f>
        <v>7</v>
      </c>
      <c r="D74" s="59">
        <f>+'Matriz Indicadores'!$C$12</f>
        <v>7</v>
      </c>
      <c r="E74" s="59">
        <f>+'Matriz Indicadores'!$C$12</f>
        <v>7</v>
      </c>
      <c r="F74" s="59">
        <f>+'Matriz Indicadores'!$C$12</f>
        <v>7</v>
      </c>
      <c r="G74" s="59">
        <f>+'Matriz Indicadores'!$C$12</f>
        <v>7</v>
      </c>
      <c r="H74" s="59">
        <f>+'Matriz Indicadores'!$C$12</f>
        <v>7</v>
      </c>
    </row>
    <row r="75" spans="2:8" ht="19.899999999999999" customHeight="1" x14ac:dyDescent="0.2">
      <c r="B75" s="46" t="str">
        <f>+B58</f>
        <v>Incentivos</v>
      </c>
      <c r="C75" s="59">
        <f>Formulas!C39</f>
        <v>5</v>
      </c>
      <c r="D75" s="59">
        <f>Formulas!D39</f>
        <v>5</v>
      </c>
      <c r="E75" s="59">
        <f>Formulas!E39</f>
        <v>5</v>
      </c>
      <c r="F75" s="59">
        <f>Formulas!F39</f>
        <v>5</v>
      </c>
      <c r="G75" s="59">
        <f>Formulas!G39</f>
        <v>5</v>
      </c>
      <c r="H75" s="59">
        <f>Formulas!H39</f>
        <v>5</v>
      </c>
    </row>
    <row r="76" spans="2:8" ht="19.899999999999999" customHeight="1" x14ac:dyDescent="0.2">
      <c r="B76" s="46" t="str">
        <f>+B60</f>
        <v>Coordinación interinstitucional</v>
      </c>
      <c r="C76" s="59">
        <f>Formulas!C40</f>
        <v>8</v>
      </c>
      <c r="D76" s="59">
        <f>Formulas!D40</f>
        <v>8</v>
      </c>
      <c r="E76" s="59">
        <f>Formulas!E40</f>
        <v>8</v>
      </c>
      <c r="F76" s="59">
        <f>Formulas!F40</f>
        <v>8</v>
      </c>
      <c r="G76" s="59">
        <f>Formulas!G40</f>
        <v>8</v>
      </c>
      <c r="H76" s="59">
        <f>Formulas!H40</f>
        <v>8</v>
      </c>
    </row>
    <row r="77" spans="2:8" ht="19.899999999999999" customHeight="1" x14ac:dyDescent="0.2">
      <c r="B77" s="46" t="str">
        <f>+B62</f>
        <v>Limpieza de vías</v>
      </c>
      <c r="C77" s="59">
        <f>Formulas!C41</f>
        <v>5</v>
      </c>
      <c r="D77" s="59">
        <f>Formulas!D41</f>
        <v>5</v>
      </c>
      <c r="E77" s="59">
        <f>Formulas!E41</f>
        <v>5</v>
      </c>
      <c r="F77" s="59">
        <f>Formulas!F41</f>
        <v>5</v>
      </c>
      <c r="G77" s="59">
        <f>Formulas!G41</f>
        <v>5</v>
      </c>
      <c r="H77" s="59">
        <f>Formulas!H41</f>
        <v>5</v>
      </c>
    </row>
    <row r="78" spans="2:8" ht="19.899999999999999" customHeight="1" x14ac:dyDescent="0.2">
      <c r="B78" s="46" t="str">
        <f>+B64</f>
        <v>Residuos valorizables</v>
      </c>
      <c r="C78" s="59">
        <f>Formulas!C42</f>
        <v>6</v>
      </c>
      <c r="D78" s="59">
        <f>Formulas!D42</f>
        <v>6</v>
      </c>
      <c r="E78" s="59">
        <f>Formulas!E42</f>
        <v>6</v>
      </c>
      <c r="F78" s="59">
        <f>Formulas!F42</f>
        <v>6</v>
      </c>
      <c r="G78" s="59">
        <f>Formulas!G42</f>
        <v>6</v>
      </c>
      <c r="H78" s="59">
        <f>Formulas!H42</f>
        <v>6</v>
      </c>
    </row>
    <row r="79" spans="2:8" ht="27" customHeight="1" x14ac:dyDescent="0.2">
      <c r="B79" s="46" t="str">
        <f>+B66</f>
        <v>Residuos no tradicionales y botaderos clandestinos</v>
      </c>
      <c r="C79" s="59">
        <f>Formulas!C43</f>
        <v>6</v>
      </c>
      <c r="D79" s="59">
        <f>Formulas!D43</f>
        <v>6</v>
      </c>
      <c r="E79" s="59">
        <f>Formulas!E43</f>
        <v>6</v>
      </c>
      <c r="F79" s="59">
        <f>Formulas!F43</f>
        <v>6</v>
      </c>
      <c r="G79" s="59">
        <f>Formulas!G43</f>
        <v>6</v>
      </c>
      <c r="H79" s="59">
        <f>Formulas!H43</f>
        <v>6</v>
      </c>
    </row>
    <row r="80" spans="2:8" ht="19.899999999999999" customHeight="1" thickBot="1" x14ac:dyDescent="0.25">
      <c r="B80" s="64" t="str">
        <f>+B68</f>
        <v>Acciones en Varablanca</v>
      </c>
      <c r="C80" s="65">
        <f>Formulas!C44</f>
        <v>5</v>
      </c>
      <c r="D80" s="65">
        <f>Formulas!D44</f>
        <v>5</v>
      </c>
      <c r="E80" s="65">
        <f>Formulas!E44</f>
        <v>5</v>
      </c>
      <c r="F80" s="65">
        <f>Formulas!F44</f>
        <v>5</v>
      </c>
      <c r="G80" s="65">
        <f>Formulas!G44</f>
        <v>5</v>
      </c>
      <c r="H80" s="65">
        <f>Formulas!H44</f>
        <v>5</v>
      </c>
    </row>
    <row r="81" spans="2:8" ht="19.899999999999999" customHeight="1" x14ac:dyDescent="0.2">
      <c r="B81" s="63" t="s">
        <v>30</v>
      </c>
      <c r="C81" s="44">
        <f>Formulas!C45</f>
        <v>41</v>
      </c>
      <c r="D81" s="44">
        <f>Formulas!D45</f>
        <v>41</v>
      </c>
      <c r="E81" s="44">
        <f>Formulas!E45</f>
        <v>41</v>
      </c>
      <c r="F81" s="44">
        <f>Formulas!F45</f>
        <v>41</v>
      </c>
      <c r="G81" s="44">
        <f>Formulas!G45</f>
        <v>41</v>
      </c>
      <c r="H81" s="44">
        <f>Formulas!H45</f>
        <v>41</v>
      </c>
    </row>
  </sheetData>
  <conditionalFormatting sqref="C56:H68">
    <cfRule type="colorScale" priority="1">
      <colorScale>
        <cfvo type="num" val="0"/>
        <cfvo type="num" val="50"/>
        <cfvo type="num" val="100"/>
        <color rgb="FFFF0000"/>
        <color rgb="FFFFFF00"/>
        <color rgb="FF00B050"/>
      </colorScale>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16"/>
  <sheetViews>
    <sheetView showGridLines="0" zoomScale="115" zoomScaleNormal="115" workbookViewId="0">
      <selection activeCell="M12" sqref="M12"/>
    </sheetView>
  </sheetViews>
  <sheetFormatPr baseColWidth="10" defaultColWidth="9.140625" defaultRowHeight="12.75" x14ac:dyDescent="0.2"/>
  <cols>
    <col min="1" max="1" width="1.42578125" style="66" customWidth="1"/>
    <col min="2" max="3" width="4.7109375" style="66" customWidth="1"/>
    <col min="4" max="4" width="22.28515625" style="66" customWidth="1"/>
    <col min="5" max="6" width="15" style="66" customWidth="1"/>
    <col min="7" max="7" width="25" style="66" customWidth="1"/>
    <col min="8" max="8" width="16.42578125" style="66" customWidth="1"/>
    <col min="9" max="9" width="15" style="66" customWidth="1"/>
    <col min="10" max="10" width="1.42578125" style="66" customWidth="1"/>
    <col min="11" max="16384" width="9.140625" style="66"/>
  </cols>
  <sheetData>
    <row r="1" spans="2:12" s="69" customFormat="1" ht="13.5" customHeight="1" thickBot="1" x14ac:dyDescent="0.25">
      <c r="B1" s="85" t="s">
        <v>36</v>
      </c>
      <c r="C1" s="71"/>
      <c r="D1" s="85"/>
      <c r="E1" s="71"/>
      <c r="F1" s="71"/>
      <c r="G1" s="71"/>
      <c r="H1" s="71"/>
      <c r="I1" s="70" t="s">
        <v>1</v>
      </c>
    </row>
    <row r="2" spans="2:12" ht="18" x14ac:dyDescent="0.2">
      <c r="B2" s="124" t="s">
        <v>107</v>
      </c>
      <c r="C2" s="124"/>
      <c r="D2" s="124"/>
      <c r="E2" s="124"/>
      <c r="F2" s="124"/>
      <c r="G2" s="124"/>
      <c r="H2" s="124"/>
      <c r="I2" s="124"/>
    </row>
    <row r="3" spans="2:12" s="69" customFormat="1" ht="12.75" customHeight="1" x14ac:dyDescent="0.2">
      <c r="B3" s="125" t="s">
        <v>142</v>
      </c>
      <c r="C3" s="125"/>
      <c r="D3" s="125"/>
      <c r="E3" s="125"/>
      <c r="F3" s="125"/>
      <c r="G3" s="125"/>
      <c r="H3" s="125"/>
      <c r="I3" s="125"/>
    </row>
    <row r="4" spans="2:12" s="67" customFormat="1" ht="25.5" x14ac:dyDescent="0.2">
      <c r="B4" s="68" t="s">
        <v>157</v>
      </c>
      <c r="C4" s="68" t="s">
        <v>156</v>
      </c>
      <c r="D4" s="68" t="s">
        <v>35</v>
      </c>
      <c r="E4" s="68" t="s">
        <v>0</v>
      </c>
      <c r="F4" s="68" t="s">
        <v>34</v>
      </c>
      <c r="G4" s="68" t="s">
        <v>33</v>
      </c>
      <c r="H4" s="68" t="s">
        <v>32</v>
      </c>
      <c r="I4" s="76" t="str">
        <f>+Sensibilización!I4</f>
        <v xml:space="preserve">Fecha de Inicio </v>
      </c>
    </row>
    <row r="5" spans="2:12" s="67" customFormat="1" ht="102" x14ac:dyDescent="0.2">
      <c r="B5" s="22">
        <v>1</v>
      </c>
      <c r="C5" s="22">
        <v>37</v>
      </c>
      <c r="D5" s="86" t="s">
        <v>144</v>
      </c>
      <c r="E5" s="86" t="str">
        <f>+'Residuos no trad y botaderos'!E10</f>
        <v>Gestión Integral de Residuos</v>
      </c>
      <c r="F5" s="86" t="s">
        <v>38</v>
      </c>
      <c r="G5" s="86" t="s">
        <v>115</v>
      </c>
      <c r="H5" s="86" t="s">
        <v>153</v>
      </c>
      <c r="I5" s="86" t="s">
        <v>2</v>
      </c>
    </row>
    <row r="6" spans="2:12" s="67" customFormat="1" ht="51" x14ac:dyDescent="0.2">
      <c r="B6" s="22">
        <v>2</v>
      </c>
      <c r="C6" s="22">
        <v>38</v>
      </c>
      <c r="D6" s="86" t="s">
        <v>174</v>
      </c>
      <c r="E6" s="86" t="str">
        <f>+'Residuos no trad y botaderos'!E5</f>
        <v>Gestión Integral de Residuos</v>
      </c>
      <c r="F6" s="86" t="s">
        <v>38</v>
      </c>
      <c r="G6" s="86" t="s">
        <v>143</v>
      </c>
      <c r="H6" s="86" t="s">
        <v>160</v>
      </c>
      <c r="I6" s="86" t="s">
        <v>2</v>
      </c>
    </row>
    <row r="7" spans="2:12" s="67" customFormat="1" ht="51" x14ac:dyDescent="0.2">
      <c r="B7" s="22">
        <v>3</v>
      </c>
      <c r="C7" s="22">
        <v>39</v>
      </c>
      <c r="D7" s="86" t="s">
        <v>108</v>
      </c>
      <c r="E7" s="86" t="str">
        <f>+'Residuos no trad y botaderos'!E6</f>
        <v>Gestión Integral de Residuos</v>
      </c>
      <c r="F7" s="86" t="s">
        <v>38</v>
      </c>
      <c r="G7" s="106" t="s">
        <v>111</v>
      </c>
      <c r="H7" s="106" t="s">
        <v>189</v>
      </c>
      <c r="I7" s="86">
        <v>2022</v>
      </c>
    </row>
    <row r="8" spans="2:12" s="67" customFormat="1" ht="63.75" x14ac:dyDescent="0.2">
      <c r="B8" s="22">
        <v>4</v>
      </c>
      <c r="C8" s="22">
        <v>40</v>
      </c>
      <c r="D8" s="86" t="s">
        <v>109</v>
      </c>
      <c r="E8" s="86" t="str">
        <f>+'Residuos no trad y botaderos'!E8</f>
        <v>Gestión Integral de Residuos</v>
      </c>
      <c r="F8" s="86" t="s">
        <v>38</v>
      </c>
      <c r="G8" s="86" t="s">
        <v>112</v>
      </c>
      <c r="H8" s="86" t="s">
        <v>175</v>
      </c>
      <c r="I8" s="86">
        <v>2021</v>
      </c>
    </row>
    <row r="9" spans="2:12" ht="89.25" x14ac:dyDescent="0.2">
      <c r="B9" s="22">
        <v>5</v>
      </c>
      <c r="C9" s="22">
        <v>41</v>
      </c>
      <c r="D9" s="86" t="s">
        <v>110</v>
      </c>
      <c r="E9" s="86" t="str">
        <f>+'Residuos no trad y botaderos'!E9</f>
        <v>Gestión Integral de Residuos</v>
      </c>
      <c r="F9" s="86" t="s">
        <v>38</v>
      </c>
      <c r="G9" s="86" t="s">
        <v>113</v>
      </c>
      <c r="H9" s="86" t="s">
        <v>114</v>
      </c>
      <c r="I9" s="86" t="s">
        <v>2</v>
      </c>
    </row>
    <row r="10" spans="2:12" x14ac:dyDescent="0.2">
      <c r="K10"/>
      <c r="L10"/>
    </row>
    <row r="11" spans="2:12" x14ac:dyDescent="0.2">
      <c r="K11"/>
      <c r="L11"/>
    </row>
    <row r="16" spans="2:12" x14ac:dyDescent="0.2">
      <c r="G16" s="28"/>
    </row>
  </sheetData>
  <mergeCells count="2">
    <mergeCell ref="B2:I2"/>
    <mergeCell ref="B3:I3"/>
  </mergeCells>
  <pageMargins left="0.70866141732283472" right="0.70866141732283472" top="0.74803149606299213" bottom="0.74803149606299213"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48"/>
  <sheetViews>
    <sheetView showGridLines="0" tabSelected="1" zoomScale="90" zoomScaleNormal="90" workbookViewId="0">
      <selection sqref="A1:XFD47"/>
    </sheetView>
  </sheetViews>
  <sheetFormatPr baseColWidth="10" defaultColWidth="9.140625" defaultRowHeight="12.75" x14ac:dyDescent="0.2"/>
  <cols>
    <col min="1" max="1" width="1.42578125" style="3" customWidth="1"/>
    <col min="2" max="2" width="11.85546875" style="3" customWidth="1"/>
    <col min="3" max="4" width="4.7109375" style="16" customWidth="1"/>
    <col min="5" max="5" width="78.42578125" style="3" customWidth="1"/>
    <col min="6" max="6" width="25.7109375" style="3" customWidth="1"/>
    <col min="7" max="12" width="5.85546875" style="3" customWidth="1"/>
    <col min="13" max="13" width="19.5703125" style="7" customWidth="1"/>
    <col min="14" max="14" width="19.5703125" style="7" hidden="1" customWidth="1"/>
    <col min="15" max="15" width="23.85546875" style="3" customWidth="1"/>
    <col min="16" max="16" width="1.42578125" style="3" customWidth="1"/>
    <col min="17" max="16384" width="9.140625" style="3"/>
  </cols>
  <sheetData>
    <row r="1" spans="2:17" ht="13.5" customHeight="1" thickBot="1" x14ac:dyDescent="0.25">
      <c r="B1" s="117" t="s">
        <v>4</v>
      </c>
      <c r="C1" s="117"/>
      <c r="D1" s="117"/>
      <c r="E1" s="117"/>
      <c r="F1" s="116" t="s">
        <v>1</v>
      </c>
      <c r="G1" s="116"/>
      <c r="H1" s="116"/>
      <c r="I1" s="116"/>
      <c r="J1" s="116"/>
      <c r="K1" s="116"/>
      <c r="L1" s="116"/>
      <c r="M1" s="116"/>
      <c r="N1" s="116"/>
      <c r="O1" s="116"/>
      <c r="P1" s="2"/>
      <c r="Q1" s="2"/>
    </row>
    <row r="2" spans="2:17" ht="18" x14ac:dyDescent="0.2">
      <c r="B2" s="123" t="s">
        <v>116</v>
      </c>
      <c r="C2" s="123"/>
      <c r="D2" s="123"/>
      <c r="E2" s="123"/>
      <c r="F2" s="123"/>
      <c r="G2" s="123"/>
      <c r="H2" s="123"/>
      <c r="I2" s="123"/>
      <c r="J2" s="123"/>
      <c r="K2" s="123"/>
      <c r="L2" s="123"/>
      <c r="M2" s="123"/>
      <c r="N2" s="123"/>
      <c r="O2" s="123"/>
    </row>
    <row r="3" spans="2:17" ht="4.5" customHeight="1" thickBot="1" x14ac:dyDescent="0.25">
      <c r="B3" s="14"/>
      <c r="C3" s="93"/>
      <c r="D3" s="14"/>
      <c r="E3" s="14"/>
      <c r="F3" s="14"/>
      <c r="G3" s="14"/>
      <c r="H3" s="25"/>
      <c r="I3" s="25"/>
      <c r="J3" s="25"/>
      <c r="K3" s="25"/>
      <c r="L3" s="25"/>
      <c r="M3" s="14"/>
      <c r="N3" s="14"/>
      <c r="O3" s="14"/>
    </row>
    <row r="4" spans="2:17" ht="14.45" customHeight="1" thickBot="1" x14ac:dyDescent="0.25">
      <c r="B4" s="121" t="s">
        <v>5</v>
      </c>
      <c r="C4" s="109" t="s">
        <v>157</v>
      </c>
      <c r="D4" s="109" t="s">
        <v>156</v>
      </c>
      <c r="E4" s="109" t="s">
        <v>6</v>
      </c>
      <c r="F4" s="109" t="s">
        <v>7</v>
      </c>
      <c r="G4" s="118" t="s">
        <v>16</v>
      </c>
      <c r="H4" s="119"/>
      <c r="I4" s="119"/>
      <c r="J4" s="119"/>
      <c r="K4" s="119"/>
      <c r="L4" s="120"/>
      <c r="M4" s="109" t="s">
        <v>183</v>
      </c>
      <c r="N4" s="109" t="s">
        <v>119</v>
      </c>
      <c r="O4" s="122" t="s">
        <v>0</v>
      </c>
    </row>
    <row r="5" spans="2:17" ht="13.5" thickBot="1" x14ac:dyDescent="0.25">
      <c r="B5" s="137"/>
      <c r="C5" s="129"/>
      <c r="D5" s="129"/>
      <c r="E5" s="129"/>
      <c r="F5" s="129"/>
      <c r="G5" s="89">
        <v>2020</v>
      </c>
      <c r="H5" s="89">
        <v>2021</v>
      </c>
      <c r="I5" s="89">
        <v>2022</v>
      </c>
      <c r="J5" s="89">
        <v>2023</v>
      </c>
      <c r="K5" s="89">
        <v>2024</v>
      </c>
      <c r="L5" s="89">
        <v>2025</v>
      </c>
      <c r="M5" s="129"/>
      <c r="N5" s="129"/>
      <c r="O5" s="133"/>
    </row>
    <row r="6" spans="2:17" ht="12.75" customHeight="1" x14ac:dyDescent="0.2">
      <c r="B6" s="126" t="s">
        <v>118</v>
      </c>
      <c r="C6" s="17">
        <v>1</v>
      </c>
      <c r="D6" s="17">
        <v>1</v>
      </c>
      <c r="E6" s="4" t="str">
        <f>Sensibilización!G5</f>
        <v>Número de capacitaciones realizadas</v>
      </c>
      <c r="F6" s="4" t="str">
        <f>Sensibilización!H5</f>
        <v>5 capacitaciones / año</v>
      </c>
      <c r="G6" s="17"/>
      <c r="H6" s="91"/>
      <c r="I6" s="91"/>
      <c r="J6" s="91"/>
      <c r="K6" s="91"/>
      <c r="L6" s="91"/>
      <c r="M6" s="4" t="str">
        <f>Sensibilización!I5</f>
        <v>Continuo</v>
      </c>
      <c r="N6" s="4"/>
      <c r="O6" s="138" t="s">
        <v>146</v>
      </c>
    </row>
    <row r="7" spans="2:17" x14ac:dyDescent="0.2">
      <c r="B7" s="127"/>
      <c r="C7" s="131">
        <v>2</v>
      </c>
      <c r="D7" s="15">
        <v>2</v>
      </c>
      <c r="E7" s="79" t="str">
        <f>Sensibilización!G6</f>
        <v>Número de mensajes divulgados</v>
      </c>
      <c r="F7" s="79" t="str">
        <f>Sensibilización!H6</f>
        <v>10 mensajes / año</v>
      </c>
      <c r="G7" s="21"/>
      <c r="H7" s="22"/>
      <c r="I7" s="22"/>
      <c r="J7" s="22"/>
      <c r="K7" s="22"/>
      <c r="L7" s="22"/>
      <c r="M7" s="79" t="str">
        <f>Sensibilización!I6</f>
        <v>Continuo</v>
      </c>
      <c r="N7" s="80"/>
      <c r="O7" s="139"/>
    </row>
    <row r="8" spans="2:17" x14ac:dyDescent="0.2">
      <c r="B8" s="127"/>
      <c r="C8" s="131">
        <v>3</v>
      </c>
      <c r="D8" s="15">
        <v>3</v>
      </c>
      <c r="E8" s="79" t="str">
        <f>Sensibilización!G7</f>
        <v>Número de campañas realizadas</v>
      </c>
      <c r="F8" s="79" t="str">
        <f>Sensibilización!H7</f>
        <v>1 campaña / año</v>
      </c>
      <c r="G8" s="21"/>
      <c r="H8" s="22"/>
      <c r="I8" s="22"/>
      <c r="J8" s="22"/>
      <c r="K8" s="22"/>
      <c r="L8" s="22"/>
      <c r="M8" s="79" t="str">
        <f>Sensibilización!I7</f>
        <v>Continuo</v>
      </c>
      <c r="N8" s="79"/>
      <c r="O8" s="139"/>
    </row>
    <row r="9" spans="2:17" x14ac:dyDescent="0.2">
      <c r="B9" s="127"/>
      <c r="C9" s="131">
        <v>4</v>
      </c>
      <c r="D9" s="15">
        <v>4</v>
      </c>
      <c r="E9" s="79" t="str">
        <f>Sensibilización!G8</f>
        <v>Totalidad de eventos masivos realizados con implementación de acciones en GIRS</v>
      </c>
      <c r="F9" s="79" t="str">
        <f>Sensibilización!H8</f>
        <v>Cumplimiento</v>
      </c>
      <c r="G9" s="15"/>
      <c r="H9" s="22"/>
      <c r="I9" s="22"/>
      <c r="J9" s="22"/>
      <c r="K9" s="22"/>
      <c r="L9" s="22"/>
      <c r="M9" s="79" t="str">
        <f>Sensibilización!I8</f>
        <v>Continuo</v>
      </c>
      <c r="N9" s="79"/>
      <c r="O9" s="139"/>
    </row>
    <row r="10" spans="2:17" ht="12.75" customHeight="1" x14ac:dyDescent="0.2">
      <c r="B10" s="127"/>
      <c r="C10" s="131">
        <v>5</v>
      </c>
      <c r="D10" s="15">
        <v>5</v>
      </c>
      <c r="E10" s="79" t="str">
        <f>Sensibilización!G9</f>
        <v>Número de "cambalaches heredianos" realizados</v>
      </c>
      <c r="F10" s="79" t="str">
        <f>Sensibilización!H9</f>
        <v>1 "cambalache herediano" / año</v>
      </c>
      <c r="G10" s="15"/>
      <c r="H10" s="22"/>
      <c r="I10" s="22"/>
      <c r="J10" s="22"/>
      <c r="K10" s="22"/>
      <c r="L10" s="22"/>
      <c r="M10" s="79">
        <f>Sensibilización!I9</f>
        <v>2021</v>
      </c>
      <c r="N10" s="79"/>
      <c r="O10" s="139"/>
    </row>
    <row r="11" spans="2:17" ht="12.75" customHeight="1" x14ac:dyDescent="0.2">
      <c r="B11" s="127"/>
      <c r="C11" s="131">
        <v>6</v>
      </c>
      <c r="D11" s="15">
        <v>6</v>
      </c>
      <c r="E11" s="79" t="str">
        <f>Sensibilización!G10</f>
        <v>Número de puntos de alcantarillado donde se colocó el mensaje de concientización</v>
      </c>
      <c r="F11" s="79" t="str">
        <f>Sensibilización!H10</f>
        <v>10 puntos de alcantarillado con mensajes / año</v>
      </c>
      <c r="G11" s="15"/>
      <c r="H11" s="22"/>
      <c r="I11" s="22"/>
      <c r="J11" s="22"/>
      <c r="K11" s="22"/>
      <c r="L11" s="22"/>
      <c r="M11" s="79" t="str">
        <f>Sensibilización!I10</f>
        <v>Continuo</v>
      </c>
      <c r="N11" s="79"/>
      <c r="O11" s="139"/>
    </row>
    <row r="12" spans="2:17" ht="12.75" customHeight="1" thickBot="1" x14ac:dyDescent="0.25">
      <c r="B12" s="128"/>
      <c r="C12" s="140">
        <v>7</v>
      </c>
      <c r="D12" s="18">
        <v>7</v>
      </c>
      <c r="E12" s="6" t="str">
        <f>Sensibilización!G11</f>
        <v xml:space="preserve">Micrositio creado, habilitado, activo y actualizado </v>
      </c>
      <c r="F12" s="6" t="str">
        <f>Sensibilización!H11</f>
        <v xml:space="preserve">1 micrositio activo y actualizado </v>
      </c>
      <c r="G12" s="18"/>
      <c r="H12" s="24"/>
      <c r="I12" s="24"/>
      <c r="J12" s="24"/>
      <c r="K12" s="24"/>
      <c r="L12" s="24"/>
      <c r="M12" s="6" t="str">
        <f>Sensibilización!I11</f>
        <v>Continuo</v>
      </c>
      <c r="N12" s="6"/>
      <c r="O12" s="141"/>
    </row>
    <row r="13" spans="2:17" ht="12.75" customHeight="1" x14ac:dyDescent="0.2">
      <c r="B13" s="114" t="s">
        <v>120</v>
      </c>
      <c r="C13" s="130">
        <v>1</v>
      </c>
      <c r="D13" s="132">
        <v>7</v>
      </c>
      <c r="E13" s="90" t="str">
        <f>Incentivos!G5</f>
        <v>Número de personas u organizaciones reconocidas</v>
      </c>
      <c r="F13" s="90" t="str">
        <f>Incentivos!H5</f>
        <v>5 personas u organizaciones reconocidas / año</v>
      </c>
      <c r="G13" s="132"/>
      <c r="H13" s="134"/>
      <c r="I13" s="134"/>
      <c r="J13" s="134"/>
      <c r="K13" s="134"/>
      <c r="L13" s="134"/>
      <c r="M13" s="135">
        <f>Incentivos!I5</f>
        <v>2021</v>
      </c>
      <c r="N13" s="136"/>
      <c r="O13" s="111" t="s">
        <v>146</v>
      </c>
    </row>
    <row r="14" spans="2:17" ht="25.5" x14ac:dyDescent="0.2">
      <c r="B14" s="114"/>
      <c r="C14" s="96">
        <v>2</v>
      </c>
      <c r="D14" s="15">
        <v>8</v>
      </c>
      <c r="E14" s="90" t="str">
        <f>Incentivos!G6</f>
        <v>Cantidad de incentivos municipales aplicados enfocados en GIRS</v>
      </c>
      <c r="F14" s="90" t="str">
        <f>Incentivos!H6</f>
        <v>1 incentivo municipal aprobado y aplicado</v>
      </c>
      <c r="G14" s="15"/>
      <c r="H14" s="22"/>
      <c r="I14" s="22"/>
      <c r="J14" s="22"/>
      <c r="K14" s="22"/>
      <c r="L14" s="22"/>
      <c r="M14" s="79">
        <f>Incentivos!I6</f>
        <v>2021</v>
      </c>
      <c r="N14" s="81"/>
      <c r="O14" s="111"/>
    </row>
    <row r="15" spans="2:17" ht="13.9" customHeight="1" x14ac:dyDescent="0.2">
      <c r="B15" s="114"/>
      <c r="C15" s="96">
        <v>3</v>
      </c>
      <c r="D15" s="15">
        <v>9</v>
      </c>
      <c r="E15" s="90" t="str">
        <f>Incentivos!G7</f>
        <v>Número de concursos realizados a nivel cantonal</v>
      </c>
      <c r="F15" s="90" t="str">
        <f>Incentivos!H7</f>
        <v>1 concurso / año</v>
      </c>
      <c r="G15" s="15"/>
      <c r="H15" s="22"/>
      <c r="I15" s="22"/>
      <c r="J15" s="22"/>
      <c r="K15" s="22"/>
      <c r="L15" s="22"/>
      <c r="M15" s="79" t="str">
        <f>Incentivos!I7</f>
        <v>Continuo</v>
      </c>
      <c r="N15" s="20"/>
      <c r="O15" s="111"/>
    </row>
    <row r="16" spans="2:17" x14ac:dyDescent="0.2">
      <c r="B16" s="114"/>
      <c r="C16" s="96">
        <v>4</v>
      </c>
      <c r="D16" s="15">
        <v>10</v>
      </c>
      <c r="E16" s="90" t="str">
        <f>Incentivos!G8</f>
        <v>Número de empresas e instituciones incluidas en el galardón de sostenibilidad de la Municipalidad</v>
      </c>
      <c r="F16" s="90" t="str">
        <f>Incentivos!H8</f>
        <v>5 organizaciones / año</v>
      </c>
      <c r="G16" s="15"/>
      <c r="H16" s="22"/>
      <c r="I16" s="22"/>
      <c r="J16" s="22"/>
      <c r="K16" s="22"/>
      <c r="L16" s="22"/>
      <c r="M16" s="79">
        <f>Incentivos!I8</f>
        <v>2021</v>
      </c>
      <c r="N16" s="81"/>
      <c r="O16" s="111"/>
    </row>
    <row r="17" spans="2:15" ht="13.5" thickBot="1" x14ac:dyDescent="0.25">
      <c r="B17" s="115"/>
      <c r="C17" s="97">
        <v>5</v>
      </c>
      <c r="D17" s="18">
        <v>11</v>
      </c>
      <c r="E17" s="104" t="str">
        <f>Incentivos!G9</f>
        <v>Asignación de recursos y/o proyectos innovadores en comunidades ejemplares en GIR</v>
      </c>
      <c r="F17" s="104" t="str">
        <f>Incentivos!H9</f>
        <v>Cumplimiento</v>
      </c>
      <c r="G17" s="18"/>
      <c r="H17" s="24"/>
      <c r="I17" s="24"/>
      <c r="J17" s="24"/>
      <c r="K17" s="24"/>
      <c r="L17" s="24"/>
      <c r="M17" s="6">
        <f>Incentivos!I9</f>
        <v>2021</v>
      </c>
      <c r="N17" s="105"/>
      <c r="O17" s="112"/>
    </row>
    <row r="18" spans="2:15" ht="12.75" customHeight="1" x14ac:dyDescent="0.2">
      <c r="B18" s="113" t="s">
        <v>121</v>
      </c>
      <c r="C18" s="95">
        <v>1</v>
      </c>
      <c r="D18" s="17">
        <v>12</v>
      </c>
      <c r="E18" s="4" t="str">
        <f>'Coordinación interinstitucional'!G5</f>
        <v>Número de nuevos actores clave en el Comité PMGIRS</v>
      </c>
      <c r="F18" s="4" t="str">
        <f>'Coordinación interinstitucional'!G5</f>
        <v>Número de nuevos actores clave en el Comité PMGIRS</v>
      </c>
      <c r="G18" s="17"/>
      <c r="H18" s="91"/>
      <c r="I18" s="91"/>
      <c r="J18" s="91"/>
      <c r="K18" s="91"/>
      <c r="L18" s="91"/>
      <c r="M18" s="4" t="str">
        <f>'Coordinación interinstitucional'!I5</f>
        <v>Continuo</v>
      </c>
      <c r="N18" s="4"/>
      <c r="O18" s="110" t="s">
        <v>146</v>
      </c>
    </row>
    <row r="19" spans="2:15" ht="25.5" x14ac:dyDescent="0.2">
      <c r="B19" s="114"/>
      <c r="C19" s="96">
        <v>2</v>
      </c>
      <c r="D19" s="15">
        <v>13</v>
      </c>
      <c r="E19" s="79" t="str">
        <f>'Coordinación interinstitucional'!G6</f>
        <v>Número de reuniones realizadas por el Comité PMGIRS</v>
      </c>
      <c r="F19" s="79" t="str">
        <f>'Coordinación interinstitucional'!G6</f>
        <v>Número de reuniones realizadas por el Comité PMGIRS</v>
      </c>
      <c r="G19" s="15"/>
      <c r="H19" s="22"/>
      <c r="I19" s="22"/>
      <c r="J19" s="22"/>
      <c r="K19" s="22"/>
      <c r="L19" s="22"/>
      <c r="M19" s="79" t="str">
        <f>'Coordinación interinstitucional'!I6</f>
        <v>Continuo</v>
      </c>
      <c r="N19" s="79"/>
      <c r="O19" s="111"/>
    </row>
    <row r="20" spans="2:15" ht="63" customHeight="1" x14ac:dyDescent="0.2">
      <c r="B20" s="114"/>
      <c r="C20" s="96">
        <v>3</v>
      </c>
      <c r="D20" s="15">
        <v>14</v>
      </c>
      <c r="E20" s="79" t="str">
        <f>'Coordinación interinstitucional'!G7</f>
        <v>Solicitar planes de manejo de residuos al menos al 60% de las construcciones de obra mayor con Viabilidad Ambiental ejecutadas dentro del cantón</v>
      </c>
      <c r="F20" s="79" t="str">
        <f>'Coordinación interinstitucional'!G7</f>
        <v>Solicitar planes de manejo de residuos al menos al 60% de las construcciones de obra mayor con Viabilidad Ambiental ejecutadas dentro del cantón</v>
      </c>
      <c r="G20" s="15"/>
      <c r="H20" s="22"/>
      <c r="I20" s="22"/>
      <c r="J20" s="22"/>
      <c r="K20" s="22"/>
      <c r="L20" s="22"/>
      <c r="M20" s="79" t="str">
        <f>'Coordinación interinstitucional'!I7</f>
        <v>2021</v>
      </c>
      <c r="N20" s="79"/>
      <c r="O20" s="111"/>
    </row>
    <row r="21" spans="2:15" ht="25.5" x14ac:dyDescent="0.2">
      <c r="B21" s="114"/>
      <c r="C21" s="96">
        <v>4</v>
      </c>
      <c r="D21" s="15">
        <v>15</v>
      </c>
      <c r="E21" s="79" t="str">
        <f>'Coordinación interinstitucional'!G8</f>
        <v>Número de puntos ecológicos instalados en transporte público</v>
      </c>
      <c r="F21" s="79" t="str">
        <f>'Coordinación interinstitucional'!G8</f>
        <v>Número de puntos ecológicos instalados en transporte público</v>
      </c>
      <c r="G21" s="15"/>
      <c r="H21" s="22"/>
      <c r="I21" s="22"/>
      <c r="J21" s="22"/>
      <c r="K21" s="22"/>
      <c r="L21" s="22"/>
      <c r="M21" s="79" t="str">
        <f>'Coordinación interinstitucional'!I8</f>
        <v>2022</v>
      </c>
      <c r="N21" s="79"/>
      <c r="O21" s="111"/>
    </row>
    <row r="22" spans="2:15" ht="25.5" x14ac:dyDescent="0.2">
      <c r="B22" s="114"/>
      <c r="C22" s="96">
        <v>5</v>
      </c>
      <c r="D22" s="15">
        <v>16</v>
      </c>
      <c r="E22" s="79" t="str">
        <f>'Coordinación interinstitucional'!G9</f>
        <v>Número de campañas de recolección de residuos peligrosos</v>
      </c>
      <c r="F22" s="79" t="str">
        <f>'Coordinación interinstitucional'!G9</f>
        <v>Número de campañas de recolección de residuos peligrosos</v>
      </c>
      <c r="G22" s="15"/>
      <c r="H22" s="22"/>
      <c r="I22" s="22"/>
      <c r="J22" s="22"/>
      <c r="K22" s="22"/>
      <c r="L22" s="22"/>
      <c r="M22" s="79" t="str">
        <f>'Coordinación interinstitucional'!I9</f>
        <v>Continuo</v>
      </c>
      <c r="N22" s="79"/>
      <c r="O22" s="111"/>
    </row>
    <row r="23" spans="2:15" ht="25.5" x14ac:dyDescent="0.2">
      <c r="B23" s="114"/>
      <c r="C23" s="96">
        <v>6</v>
      </c>
      <c r="D23" s="15">
        <v>17</v>
      </c>
      <c r="E23" s="79" t="str">
        <f>'Coordinación interinstitucional'!G10</f>
        <v>Número de ferias de residuos valorizables</v>
      </c>
      <c r="F23" s="79" t="str">
        <f>'Coordinación interinstitucional'!G10</f>
        <v>Número de ferias de residuos valorizables</v>
      </c>
      <c r="G23" s="15"/>
      <c r="H23" s="22"/>
      <c r="I23" s="22"/>
      <c r="J23" s="22"/>
      <c r="K23" s="22"/>
      <c r="L23" s="22"/>
      <c r="M23" s="79" t="str">
        <f>'Coordinación interinstitucional'!I10</f>
        <v>2021</v>
      </c>
      <c r="N23" s="79"/>
      <c r="O23" s="111"/>
    </row>
    <row r="24" spans="2:15" ht="25.5" x14ac:dyDescent="0.2">
      <c r="B24" s="114"/>
      <c r="C24" s="96">
        <v>7</v>
      </c>
      <c r="D24" s="15">
        <v>18</v>
      </c>
      <c r="E24" s="79" t="str">
        <f>'Coordinación interinstitucional'!G11</f>
        <v>Coordinación constante con Fuerza Pública, MINAE y MinSalud.</v>
      </c>
      <c r="F24" s="79" t="str">
        <f>'Coordinación interinstitucional'!G11</f>
        <v>Coordinación constante con Fuerza Pública, MINAE y MinSalud.</v>
      </c>
      <c r="G24" s="15"/>
      <c r="H24" s="22"/>
      <c r="I24" s="22"/>
      <c r="J24" s="22"/>
      <c r="K24" s="22"/>
      <c r="L24" s="22"/>
      <c r="M24" s="79" t="str">
        <f>'Coordinación interinstitucional'!I11</f>
        <v>Continuo</v>
      </c>
      <c r="N24" s="79"/>
      <c r="O24" s="111"/>
    </row>
    <row r="25" spans="2:15" ht="24.75" customHeight="1" thickBot="1" x14ac:dyDescent="0.25">
      <c r="B25" s="115"/>
      <c r="C25" s="97">
        <v>8</v>
      </c>
      <c r="D25" s="18">
        <v>19</v>
      </c>
      <c r="E25" s="6" t="str">
        <f>'Coordinación interinstitucional'!G12</f>
        <v>Número de voluntariados realizados</v>
      </c>
      <c r="F25" s="6" t="str">
        <f>'Coordinación interinstitucional'!G12</f>
        <v>Número de voluntariados realizados</v>
      </c>
      <c r="G25" s="18"/>
      <c r="H25" s="24"/>
      <c r="I25" s="24"/>
      <c r="J25" s="24"/>
      <c r="K25" s="24"/>
      <c r="L25" s="24"/>
      <c r="M25" s="6" t="str">
        <f>'Coordinación interinstitucional'!I12</f>
        <v>Continuo</v>
      </c>
      <c r="N25" s="6"/>
      <c r="O25" s="112"/>
    </row>
    <row r="26" spans="2:15" x14ac:dyDescent="0.2">
      <c r="B26" s="113" t="s">
        <v>122</v>
      </c>
      <c r="C26" s="95">
        <v>1</v>
      </c>
      <c r="D26" s="17">
        <v>20</v>
      </c>
      <c r="E26" s="98" t="str">
        <f>'Limpieza vías'!G5</f>
        <v xml:space="preserve">Número de contenedores colocados al año </v>
      </c>
      <c r="F26" s="98" t="str">
        <f>'Limpieza vías'!H5</f>
        <v xml:space="preserve">3 contenedores/año </v>
      </c>
      <c r="G26" s="17"/>
      <c r="H26" s="91"/>
      <c r="I26" s="91"/>
      <c r="J26" s="91"/>
      <c r="K26" s="91"/>
      <c r="L26" s="91"/>
      <c r="M26" s="4" t="str">
        <f>'Limpieza vías'!I5</f>
        <v>2021</v>
      </c>
      <c r="N26" s="4"/>
      <c r="O26" s="110" t="s">
        <v>14</v>
      </c>
    </row>
    <row r="27" spans="2:15" ht="38.25" x14ac:dyDescent="0.2">
      <c r="B27" s="114"/>
      <c r="C27" s="96">
        <v>2</v>
      </c>
      <c r="D27" s="15">
        <v>21</v>
      </c>
      <c r="E27" s="1" t="str">
        <f>'Limpieza vías'!G6</f>
        <v>Número de inspecciones realizadas a los contenedores de basura del cantón</v>
      </c>
      <c r="F27" s="1" t="str">
        <f>'Limpieza vías'!H6</f>
        <v>1 inspección realizada a todos los contenedores de basura del cantón / anual</v>
      </c>
      <c r="G27" s="15"/>
      <c r="H27" s="22"/>
      <c r="I27" s="22"/>
      <c r="J27" s="22"/>
      <c r="K27" s="22"/>
      <c r="L27" s="22"/>
      <c r="M27" s="79" t="str">
        <f>'Limpieza vías'!I6</f>
        <v>Continuo</v>
      </c>
      <c r="N27" s="79"/>
      <c r="O27" s="111"/>
    </row>
    <row r="28" spans="2:15" ht="25.5" x14ac:dyDescent="0.2">
      <c r="B28" s="114"/>
      <c r="C28" s="96">
        <v>3</v>
      </c>
      <c r="D28" s="15">
        <v>22</v>
      </c>
      <c r="E28" s="1" t="str">
        <f>'Limpieza vías'!G7</f>
        <v>Número de nuevos puntos de separación al año en el cantón</v>
      </c>
      <c r="F28" s="1" t="str">
        <f>'Limpieza vías'!H7</f>
        <v>3 puntos nuevos de separación en vías y áreas públicas / año</v>
      </c>
      <c r="G28" s="15"/>
      <c r="H28" s="22"/>
      <c r="I28" s="22"/>
      <c r="J28" s="22"/>
      <c r="K28" s="22"/>
      <c r="L28" s="22"/>
      <c r="M28" s="79" t="str">
        <f>'Limpieza vías'!I7</f>
        <v>2021</v>
      </c>
      <c r="N28" s="79"/>
      <c r="O28" s="111"/>
    </row>
    <row r="29" spans="2:15" ht="12.75" customHeight="1" x14ac:dyDescent="0.2">
      <c r="B29" s="114"/>
      <c r="C29" s="96">
        <v>4</v>
      </c>
      <c r="D29" s="15">
        <v>23</v>
      </c>
      <c r="E29" s="1" t="str">
        <f>'Limpieza vías'!G8</f>
        <v>Número de canastas colocadas en las alcantarillas</v>
      </c>
      <c r="F29" s="1" t="str">
        <f>'Limpieza vías'!H8</f>
        <v>10 canastas en alcantarillas / año</v>
      </c>
      <c r="G29" s="15"/>
      <c r="H29" s="22"/>
      <c r="I29" s="22"/>
      <c r="J29" s="22"/>
      <c r="K29" s="22"/>
      <c r="L29" s="22"/>
      <c r="M29" s="79" t="str">
        <f>'Limpieza vías'!I8</f>
        <v>Continuo</v>
      </c>
      <c r="N29" s="79"/>
      <c r="O29" s="111"/>
    </row>
    <row r="30" spans="2:15" ht="13.5" thickBot="1" x14ac:dyDescent="0.25">
      <c r="B30" s="115"/>
      <c r="C30" s="97">
        <v>5</v>
      </c>
      <c r="D30" s="18">
        <v>24</v>
      </c>
      <c r="E30" s="5" t="str">
        <f>'Limpieza vías'!G9</f>
        <v>Número de contenedores para desecho de las excretas de las mascotas colocados en el cantón</v>
      </c>
      <c r="F30" s="5" t="str">
        <f>'Limpieza vías'!H9</f>
        <v>5 contenedores colocados / año</v>
      </c>
      <c r="G30" s="18"/>
      <c r="H30" s="24"/>
      <c r="I30" s="24"/>
      <c r="J30" s="24"/>
      <c r="K30" s="24"/>
      <c r="L30" s="24"/>
      <c r="M30" s="6" t="str">
        <f>'Limpieza vías'!I9</f>
        <v>Continuo</v>
      </c>
      <c r="N30" s="6"/>
      <c r="O30" s="112"/>
    </row>
    <row r="31" spans="2:15" ht="38.25" x14ac:dyDescent="0.2">
      <c r="B31" s="113" t="s">
        <v>123</v>
      </c>
      <c r="C31" s="95">
        <v>1</v>
      </c>
      <c r="D31" s="17">
        <v>25</v>
      </c>
      <c r="E31" s="98" t="str">
        <f>'Residuos valorizables'!G5</f>
        <v>Número de nuevas familias integradas al programa de compostaje cantonal</v>
      </c>
      <c r="F31" s="99" t="str">
        <f>'Residuos valorizables'!H5</f>
        <v>al menos 100 nuevas familias integradas al programa de compostaje cantonal / año</v>
      </c>
      <c r="G31" s="100"/>
      <c r="H31" s="91"/>
      <c r="I31" s="91"/>
      <c r="J31" s="91"/>
      <c r="K31" s="91"/>
      <c r="L31" s="91"/>
      <c r="M31" s="4">
        <f>'Residuos valorizables'!I5</f>
        <v>2021</v>
      </c>
      <c r="N31" s="101"/>
      <c r="O31" s="110" t="s">
        <v>146</v>
      </c>
    </row>
    <row r="32" spans="2:15" ht="38.25" x14ac:dyDescent="0.2">
      <c r="B32" s="114"/>
      <c r="C32" s="96">
        <v>2</v>
      </c>
      <c r="D32" s="15">
        <v>26</v>
      </c>
      <c r="E32" s="1" t="str">
        <f>'Residuos valorizables'!G6</f>
        <v>Número de huertos urbanos y/o huertas comunitarias realizadas en el cantón</v>
      </c>
      <c r="F32" s="8" t="str">
        <f>'Residuos valorizables'!H6</f>
        <v>2 huertos urbanos y/o huertas comunitarias realizadas en el cantón / año</v>
      </c>
      <c r="G32" s="21"/>
      <c r="H32" s="22"/>
      <c r="I32" s="22"/>
      <c r="J32" s="22"/>
      <c r="K32" s="22"/>
      <c r="L32" s="22"/>
      <c r="M32" s="79">
        <f>'Residuos valorizables'!I6</f>
        <v>2021</v>
      </c>
      <c r="N32" s="9"/>
      <c r="O32" s="111"/>
    </row>
    <row r="33" spans="2:15" ht="38.25" x14ac:dyDescent="0.2">
      <c r="B33" s="114"/>
      <c r="C33" s="96">
        <v>3</v>
      </c>
      <c r="D33" s="15">
        <v>27</v>
      </c>
      <c r="E33" s="1" t="str">
        <f>'Residuos valorizables'!G7</f>
        <v>Número de tutoriales o instructivos para aprovechamiento de materiales</v>
      </c>
      <c r="F33" s="8" t="str">
        <f>'Residuos valorizables'!H7</f>
        <v>2 tutoriales o instructivos para aprovechamiento de materiales / año</v>
      </c>
      <c r="G33" s="21"/>
      <c r="H33" s="22"/>
      <c r="I33" s="22"/>
      <c r="J33" s="22"/>
      <c r="K33" s="22"/>
      <c r="L33" s="22"/>
      <c r="M33" s="79" t="str">
        <f>'Residuos valorizables'!I7</f>
        <v>Continuo</v>
      </c>
      <c r="N33" s="9"/>
      <c r="O33" s="111"/>
    </row>
    <row r="34" spans="2:15" ht="38.25" x14ac:dyDescent="0.2">
      <c r="B34" s="114"/>
      <c r="C34" s="96">
        <v>4</v>
      </c>
      <c r="D34" s="15">
        <v>28</v>
      </c>
      <c r="E34" s="1" t="str">
        <f>'Residuos valorizables'!G8</f>
        <v>Número de convenios con personas u organizaciones que reciban abono orgánico</v>
      </c>
      <c r="F34" s="8" t="str">
        <f>'Residuos valorizables'!H8</f>
        <v>1 convenio con personas u organizaciones que reciban abono orgánico</v>
      </c>
      <c r="G34" s="21"/>
      <c r="H34" s="22"/>
      <c r="I34" s="22"/>
      <c r="J34" s="22"/>
      <c r="K34" s="22"/>
      <c r="L34" s="22"/>
      <c r="M34" s="79">
        <f>'Residuos valorizables'!I8</f>
        <v>2021</v>
      </c>
      <c r="N34" s="9"/>
      <c r="O34" s="111"/>
    </row>
    <row r="35" spans="2:15" ht="12.75" customHeight="1" x14ac:dyDescent="0.2">
      <c r="B35" s="114"/>
      <c r="C35" s="96">
        <v>5</v>
      </c>
      <c r="D35" s="15">
        <v>29</v>
      </c>
      <c r="E35" s="1" t="str">
        <f>'Residuos valorizables'!G9</f>
        <v>Número de nuevos materiales valorizables recibidos en la ruta de recolección y en los centros de recuperación temporal</v>
      </c>
      <c r="F35" s="8" t="str">
        <f>'Residuos valorizables'!H9</f>
        <v>1 nuevo tipo de material valorizable recibido en la ruta de recolección o en los centros de recuperación temporal</v>
      </c>
      <c r="G35" s="15"/>
      <c r="H35" s="22"/>
      <c r="I35" s="22"/>
      <c r="J35" s="22"/>
      <c r="K35" s="22"/>
      <c r="L35" s="22"/>
      <c r="M35" s="79">
        <f>'Residuos valorizables'!I9</f>
        <v>2022</v>
      </c>
      <c r="N35" s="79"/>
      <c r="O35" s="111"/>
    </row>
    <row r="36" spans="2:15" ht="51.75" thickBot="1" x14ac:dyDescent="0.25">
      <c r="B36" s="115"/>
      <c r="C36" s="97">
        <v>6</v>
      </c>
      <c r="D36" s="18">
        <v>30</v>
      </c>
      <c r="E36" s="5" t="str">
        <f>'Residuos valorizables'!G10</f>
        <v>Número de sistemas de tratamiento para residuos orgánicos implementados en la Feria del Agricultor y/o Mercado Municipal.</v>
      </c>
      <c r="F36" s="19" t="str">
        <f>'Residuos valorizables'!H10</f>
        <v>1 sistema de tratamiento para residuos orgánicos implementado en la Feria del Agricultor y/o Mercado Municipal</v>
      </c>
      <c r="G36" s="18"/>
      <c r="H36" s="24"/>
      <c r="I36" s="24"/>
      <c r="J36" s="24"/>
      <c r="K36" s="24"/>
      <c r="L36" s="24"/>
      <c r="M36" s="6" t="str">
        <f>'Residuos valorizables'!I10</f>
        <v>Continuo</v>
      </c>
      <c r="N36" s="6"/>
      <c r="O36" s="112"/>
    </row>
    <row r="37" spans="2:15" ht="25.5" x14ac:dyDescent="0.2">
      <c r="B37" s="113" t="s">
        <v>124</v>
      </c>
      <c r="C37" s="95">
        <v>1</v>
      </c>
      <c r="D37" s="17">
        <v>31</v>
      </c>
      <c r="E37" s="99" t="str">
        <f>'Residuos no trad y botaderos'!G5</f>
        <v>Plan de acción elaborado y acciones ejecutadas en al menos el 70% de los botaderos clandestinos identificados por el personal municipal</v>
      </c>
      <c r="F37" s="102" t="str">
        <f>'Residuos no trad y botaderos'!H5</f>
        <v>Plan de acción elaborado y en ejecución</v>
      </c>
      <c r="G37" s="91"/>
      <c r="H37" s="91"/>
      <c r="I37" s="91"/>
      <c r="J37" s="91"/>
      <c r="K37" s="91"/>
      <c r="L37" s="91"/>
      <c r="M37" s="4">
        <f>'Residuos no trad y botaderos'!I5</f>
        <v>2021</v>
      </c>
      <c r="N37" s="103"/>
      <c r="O37" s="110" t="s">
        <v>146</v>
      </c>
    </row>
    <row r="38" spans="2:15" ht="51" x14ac:dyDescent="0.2">
      <c r="B38" s="114"/>
      <c r="C38" s="96">
        <v>2</v>
      </c>
      <c r="D38" s="15">
        <v>32</v>
      </c>
      <c r="E38" s="8" t="str">
        <f>'Residuos no trad y botaderos'!G6</f>
        <v>Número de organizaciones o grupos sociales vigilantes de los botaderos clandestinos</v>
      </c>
      <c r="F38" s="86" t="str">
        <f>'Residuos no trad y botaderos'!H6</f>
        <v>9 organizaciones o grupos sociales vigilantes de los nueve botaderos clandestinos identificados por el personal municipal</v>
      </c>
      <c r="G38" s="22"/>
      <c r="H38" s="22"/>
      <c r="I38" s="22"/>
      <c r="J38" s="22"/>
      <c r="K38" s="22"/>
      <c r="L38" s="22"/>
      <c r="M38" s="79">
        <f>'Residuos no trad y botaderos'!I6</f>
        <v>2022</v>
      </c>
      <c r="N38" s="10"/>
      <c r="O38" s="111"/>
    </row>
    <row r="39" spans="2:15" ht="51" x14ac:dyDescent="0.2">
      <c r="B39" s="114"/>
      <c r="C39" s="96">
        <v>3</v>
      </c>
      <c r="D39" s="15">
        <v>33</v>
      </c>
      <c r="E39" s="8" t="str">
        <f>'Residuos no trad y botaderos'!G7</f>
        <v>Número de cámaras de vigilancia</v>
      </c>
      <c r="F39" s="86" t="str">
        <f>'Residuos no trad y botaderos'!H7</f>
        <v>Al menos 5 cámaras de vigilancia colocadas en los botaderos clandestinos identificados por el personal municipal</v>
      </c>
      <c r="G39" s="22"/>
      <c r="H39" s="22"/>
      <c r="I39" s="22"/>
      <c r="J39" s="22"/>
      <c r="K39" s="22"/>
      <c r="L39" s="22"/>
      <c r="M39" s="79">
        <f>'Residuos no trad y botaderos'!I7</f>
        <v>2021</v>
      </c>
      <c r="N39" s="10"/>
      <c r="O39" s="111"/>
    </row>
    <row r="40" spans="2:15" ht="42" customHeight="1" x14ac:dyDescent="0.2">
      <c r="B40" s="114"/>
      <c r="C40" s="96">
        <v>4</v>
      </c>
      <c r="D40" s="15">
        <v>34</v>
      </c>
      <c r="E40" s="8" t="str">
        <f>'Residuos no trad y botaderos'!G8</f>
        <v>Número de medios de denuncia para reportar malas prácticas en GIRS</v>
      </c>
      <c r="F40" s="86" t="str">
        <f>'Residuos no trad y botaderos'!H8</f>
        <v>1 medio de denuncia inmediata para reportar malas prácticas en GIRS</v>
      </c>
      <c r="G40" s="22"/>
      <c r="H40" s="22"/>
      <c r="I40" s="22"/>
      <c r="J40" s="22"/>
      <c r="K40" s="22"/>
      <c r="L40" s="22"/>
      <c r="M40" s="79">
        <f>'Residuos no trad y botaderos'!I8</f>
        <v>2021</v>
      </c>
      <c r="N40" s="10"/>
      <c r="O40" s="111"/>
    </row>
    <row r="41" spans="2:15" ht="25.5" x14ac:dyDescent="0.2">
      <c r="B41" s="114"/>
      <c r="C41" s="96">
        <v>5</v>
      </c>
      <c r="D41" s="15">
        <v>35</v>
      </c>
      <c r="E41" s="8" t="str">
        <f>'Residuos no trad y botaderos'!G9</f>
        <v>Número de campañas de recolecciones de residuos de manejo especial</v>
      </c>
      <c r="F41" s="86" t="str">
        <f>'Residuos no trad y botaderos'!H9</f>
        <v>4 campañas de recolección de residuos de manejo especial / año</v>
      </c>
      <c r="G41" s="15"/>
      <c r="H41" s="22"/>
      <c r="I41" s="22"/>
      <c r="J41" s="22"/>
      <c r="K41" s="22"/>
      <c r="L41" s="22"/>
      <c r="M41" s="79" t="str">
        <f>'Residuos no trad y botaderos'!I9</f>
        <v>Continuo</v>
      </c>
      <c r="N41" s="11"/>
      <c r="O41" s="111"/>
    </row>
    <row r="42" spans="2:15" ht="39" thickBot="1" x14ac:dyDescent="0.25">
      <c r="B42" s="115"/>
      <c r="C42" s="97">
        <v>6</v>
      </c>
      <c r="D42" s="18">
        <v>36</v>
      </c>
      <c r="E42" s="19" t="str">
        <f>'Residuos no trad y botaderos'!G10</f>
        <v>Número de propuestas para valorar que el Municipio brinde el servicio de recolección de escombros</v>
      </c>
      <c r="F42" s="12" t="str">
        <f>'Residuos no trad y botaderos'!H10</f>
        <v>1 procedimiento o propuesta municipal para la recolección de escombros en el cantón</v>
      </c>
      <c r="G42" s="24"/>
      <c r="H42" s="24"/>
      <c r="I42" s="24"/>
      <c r="J42" s="24"/>
      <c r="K42" s="24"/>
      <c r="L42" s="24"/>
      <c r="M42" s="6">
        <f>'Residuos no trad y botaderos'!I10</f>
        <v>2020</v>
      </c>
      <c r="N42" s="92"/>
      <c r="O42" s="112"/>
    </row>
    <row r="43" spans="2:15" x14ac:dyDescent="0.2">
      <c r="B43" s="113" t="s">
        <v>125</v>
      </c>
      <c r="C43" s="95">
        <v>1</v>
      </c>
      <c r="D43" s="17">
        <v>37</v>
      </c>
      <c r="E43" s="98" t="str">
        <f>+'Acciones en Varablanca'!G5</f>
        <v>Número de reuniones realizadas entre el Comité de Varablanca y personal municipal</v>
      </c>
      <c r="F43" s="98" t="str">
        <f>+'Acciones en Varablanca'!H5</f>
        <v>2 reuniones / año</v>
      </c>
      <c r="G43" s="17"/>
      <c r="H43" s="91"/>
      <c r="I43" s="91"/>
      <c r="J43" s="91"/>
      <c r="K43" s="91"/>
      <c r="L43" s="91"/>
      <c r="M43" s="4" t="str">
        <f>'Acciones en Varablanca'!I6</f>
        <v>Continuo</v>
      </c>
      <c r="N43" s="4"/>
      <c r="O43" s="110" t="s">
        <v>146</v>
      </c>
    </row>
    <row r="44" spans="2:15" x14ac:dyDescent="0.2">
      <c r="B44" s="114"/>
      <c r="C44" s="96">
        <v>2</v>
      </c>
      <c r="D44" s="15">
        <v>38</v>
      </c>
      <c r="E44" s="1" t="str">
        <f>+'Acciones en Varablanca'!G6</f>
        <v>Número de capacitaciones en GIRS en el distrito de Varablanca</v>
      </c>
      <c r="F44" s="1" t="str">
        <f>+'Acciones en Varablanca'!H6</f>
        <v>2 capacitaciones / año</v>
      </c>
      <c r="G44" s="15"/>
      <c r="H44" s="22"/>
      <c r="I44" s="22"/>
      <c r="J44" s="22"/>
      <c r="K44" s="22"/>
      <c r="L44" s="22"/>
      <c r="M44" s="79">
        <f>'Acciones en Varablanca'!I7</f>
        <v>2022</v>
      </c>
      <c r="N44" s="79"/>
      <c r="O44" s="111"/>
    </row>
    <row r="45" spans="2:15" ht="25.5" x14ac:dyDescent="0.2">
      <c r="B45" s="114"/>
      <c r="C45" s="96">
        <v>3</v>
      </c>
      <c r="D45" s="15">
        <v>39</v>
      </c>
      <c r="E45" s="1" t="str">
        <f>+'Acciones en Varablanca'!G7</f>
        <v>Módulos de separación en todos los centros educativos de Varablanca</v>
      </c>
      <c r="F45" s="1" t="str">
        <f>+'Acciones en Varablanca'!H7</f>
        <v>Módulos de separación en todos los Centros Educatvos</v>
      </c>
      <c r="G45" s="21"/>
      <c r="H45" s="22"/>
      <c r="I45" s="22"/>
      <c r="J45" s="22"/>
      <c r="K45" s="22"/>
      <c r="L45" s="22"/>
      <c r="M45" s="79">
        <f>'Acciones en Varablanca'!I8</f>
        <v>2021</v>
      </c>
      <c r="N45" s="10"/>
      <c r="O45" s="111"/>
    </row>
    <row r="46" spans="2:15" ht="38.25" x14ac:dyDescent="0.2">
      <c r="B46" s="114"/>
      <c r="C46" s="96">
        <v>4</v>
      </c>
      <c r="D46" s="15">
        <v>40</v>
      </c>
      <c r="E46" s="1" t="str">
        <f>+'Acciones en Varablanca'!G8</f>
        <v>Número de días de funcionamiento del centro de recuperación temporal  de Varablanca</v>
      </c>
      <c r="F46" s="1" t="str">
        <f>+'Acciones en Varablanca'!H8</f>
        <v>26 días de funcionamiento del centro de recuperación temporal de Varablanca / año</v>
      </c>
      <c r="G46" s="22"/>
      <c r="H46" s="22"/>
      <c r="I46" s="22"/>
      <c r="J46" s="22"/>
      <c r="K46" s="22"/>
      <c r="L46" s="22"/>
      <c r="M46" s="79" t="str">
        <f>'Acciones en Varablanca'!I9</f>
        <v>Continuo</v>
      </c>
      <c r="N46" s="10"/>
      <c r="O46" s="111"/>
    </row>
    <row r="47" spans="2:15" ht="49.5" customHeight="1" thickBot="1" x14ac:dyDescent="0.25">
      <c r="B47" s="115"/>
      <c r="C47" s="97">
        <v>5</v>
      </c>
      <c r="D47" s="18">
        <v>41</v>
      </c>
      <c r="E47" s="5" t="str">
        <f>+'Acciones en Varablanca'!G9</f>
        <v xml:space="preserve">Número de familias y/o organizaciones capacitadas en buenas prácticas con residuos orgánicos, composteras y abono orgánico </v>
      </c>
      <c r="F47" s="5" t="str">
        <f>+'Acciones en Varablanca'!H9</f>
        <v>3  familias y/o organizaciones capacitadas en buenas prácticas con residuos orgánicos, composteras y abono orgánico / año</v>
      </c>
      <c r="G47" s="23"/>
      <c r="H47" s="24"/>
      <c r="I47" s="24"/>
      <c r="J47" s="24"/>
      <c r="K47" s="24"/>
      <c r="L47" s="24"/>
      <c r="M47" s="6" t="str">
        <f>'Acciones en Varablanca'!I5</f>
        <v>Continuo</v>
      </c>
      <c r="N47" s="13"/>
      <c r="O47" s="112"/>
    </row>
    <row r="48" spans="2:15" ht="7.5" customHeight="1" x14ac:dyDescent="0.2"/>
  </sheetData>
  <mergeCells count="26">
    <mergeCell ref="B43:B47"/>
    <mergeCell ref="O18:O25"/>
    <mergeCell ref="O43:O47"/>
    <mergeCell ref="F1:O1"/>
    <mergeCell ref="B1:E1"/>
    <mergeCell ref="G4:L4"/>
    <mergeCell ref="B4:B5"/>
    <mergeCell ref="D4:D5"/>
    <mergeCell ref="E4:E5"/>
    <mergeCell ref="F4:F5"/>
    <mergeCell ref="M4:M5"/>
    <mergeCell ref="N4:N5"/>
    <mergeCell ref="O4:O5"/>
    <mergeCell ref="B2:O2"/>
    <mergeCell ref="C4:C5"/>
    <mergeCell ref="O26:O30"/>
    <mergeCell ref="O31:O36"/>
    <mergeCell ref="O13:O17"/>
    <mergeCell ref="B37:B42"/>
    <mergeCell ref="O37:O42"/>
    <mergeCell ref="B31:B36"/>
    <mergeCell ref="B13:B17"/>
    <mergeCell ref="B18:B25"/>
    <mergeCell ref="B26:B30"/>
    <mergeCell ref="B6:B12"/>
    <mergeCell ref="O6:O12"/>
  </mergeCells>
  <conditionalFormatting sqref="G6:L47">
    <cfRule type="colorScale" priority="1">
      <colorScale>
        <cfvo type="num" val="0"/>
        <cfvo type="num" val="50"/>
        <cfvo type="num" val="100"/>
        <color rgb="FFFF0000"/>
        <color rgb="FFFFFF00"/>
        <color rgb="FF00B050"/>
      </colorScale>
    </cfRule>
  </conditionalFormatting>
  <dataValidations count="1">
    <dataValidation type="list" allowBlank="1" showInputMessage="1" showErrorMessage="1" sqref="G6:L47" xr:uid="{00000000-0002-0000-0100-000000000000}">
      <formula1>"0,25,50,75,100,n/a"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52"/>
  <sheetViews>
    <sheetView workbookViewId="0">
      <selection activeCell="J1" sqref="J1"/>
    </sheetView>
  </sheetViews>
  <sheetFormatPr baseColWidth="10" defaultColWidth="8.85546875" defaultRowHeight="12.75" x14ac:dyDescent="0.2"/>
  <cols>
    <col min="1" max="1" width="2.28515625" style="54" customWidth="1"/>
    <col min="2" max="2" width="40.7109375" style="28" customWidth="1"/>
    <col min="3" max="8" width="7.28515625" style="28" bestFit="1" customWidth="1"/>
    <col min="9" max="9" width="10.7109375" style="28" customWidth="1"/>
    <col min="10" max="12" width="8.85546875" style="28"/>
    <col min="13" max="16384" width="8.85546875" style="54"/>
  </cols>
  <sheetData>
    <row r="1" spans="2:19" ht="18" x14ac:dyDescent="0.2">
      <c r="B1" s="55"/>
    </row>
    <row r="2" spans="2:19" ht="18" x14ac:dyDescent="0.2">
      <c r="B2" s="55" t="s">
        <v>29</v>
      </c>
    </row>
    <row r="4" spans="2:19" ht="19.899999999999999" customHeight="1" thickBot="1" x14ac:dyDescent="0.25">
      <c r="B4" s="32" t="s">
        <v>17</v>
      </c>
      <c r="C4" s="33">
        <v>2020</v>
      </c>
      <c r="D4" s="33">
        <v>2021</v>
      </c>
      <c r="E4" s="33">
        <v>2022</v>
      </c>
      <c r="F4" s="33">
        <v>2023</v>
      </c>
      <c r="G4" s="33">
        <v>2024</v>
      </c>
      <c r="H4" s="33">
        <v>2025</v>
      </c>
    </row>
    <row r="5" spans="2:19" x14ac:dyDescent="0.2">
      <c r="B5" s="28" t="s">
        <v>18</v>
      </c>
      <c r="C5" s="31">
        <f>SUM('Matriz Indicadores'!G6:G47)/(COUNT('Matriz Indicadores'!G6:G47)+COUNTBLANK('Matriz Indicadores'!G6:G47))</f>
        <v>0</v>
      </c>
      <c r="D5" s="31">
        <f>SUM('Matriz Indicadores'!H6:H47)/(COUNT('Matriz Indicadores'!H6:H47)+COUNTBLANK('Matriz Indicadores'!H6:H47))</f>
        <v>0</v>
      </c>
      <c r="E5" s="31">
        <f>SUM('Matriz Indicadores'!I6:I47)/(COUNT('Matriz Indicadores'!I6:I47)+COUNTBLANK('Matriz Indicadores'!I6:I47))</f>
        <v>0</v>
      </c>
      <c r="F5" s="31">
        <f>SUM('Matriz Indicadores'!J6:J47)/(COUNT('Matriz Indicadores'!J6:J47)+COUNTBLANK('Matriz Indicadores'!J6:J47))</f>
        <v>0</v>
      </c>
      <c r="G5" s="31">
        <f>SUM('Matriz Indicadores'!K6:K47)/(COUNT('Matriz Indicadores'!K6:K47)+COUNTBLANK('Matriz Indicadores'!K6:K47))</f>
        <v>0</v>
      </c>
      <c r="H5" s="31">
        <f>SUM('Matriz Indicadores'!L6:L47)/(COUNT('Matriz Indicadores'!L6:L47)+COUNTBLANK('Matriz Indicadores'!L6:L47))</f>
        <v>0</v>
      </c>
      <c r="I5" s="30"/>
    </row>
    <row r="6" spans="2:19" x14ac:dyDescent="0.2">
      <c r="C6" s="31">
        <v>1</v>
      </c>
      <c r="D6" s="31">
        <v>1</v>
      </c>
      <c r="E6" s="31">
        <v>1</v>
      </c>
      <c r="F6" s="31">
        <v>1</v>
      </c>
      <c r="G6" s="31">
        <v>1</v>
      </c>
      <c r="H6" s="31">
        <v>1</v>
      </c>
      <c r="S6" s="56"/>
    </row>
    <row r="7" spans="2:19" x14ac:dyDescent="0.2">
      <c r="C7" s="31">
        <f>100-SUM(C5:C6)</f>
        <v>99</v>
      </c>
      <c r="D7" s="31">
        <f t="shared" ref="D7:H7" si="0">100-SUM(D5:D6)</f>
        <v>99</v>
      </c>
      <c r="E7" s="31">
        <f t="shared" si="0"/>
        <v>99</v>
      </c>
      <c r="F7" s="31">
        <f t="shared" si="0"/>
        <v>99</v>
      </c>
      <c r="G7" s="31">
        <f t="shared" si="0"/>
        <v>99</v>
      </c>
      <c r="H7" s="31">
        <f t="shared" si="0"/>
        <v>99</v>
      </c>
    </row>
    <row r="8" spans="2:19" x14ac:dyDescent="0.2">
      <c r="O8" s="60"/>
    </row>
    <row r="9" spans="2:19" x14ac:dyDescent="0.2">
      <c r="O9" s="60"/>
    </row>
    <row r="10" spans="2:19" ht="19.899999999999999" customHeight="1" thickBot="1" x14ac:dyDescent="0.25">
      <c r="B10" s="32" t="s">
        <v>28</v>
      </c>
      <c r="C10" s="33">
        <v>2020</v>
      </c>
      <c r="D10" s="33">
        <v>2021</v>
      </c>
      <c r="E10" s="33">
        <v>2022</v>
      </c>
      <c r="F10" s="33">
        <v>2023</v>
      </c>
      <c r="G10" s="33">
        <v>2024</v>
      </c>
      <c r="H10" s="33">
        <v>2025</v>
      </c>
      <c r="O10" s="60"/>
    </row>
    <row r="11" spans="2:19" x14ac:dyDescent="0.2">
      <c r="B11" s="27"/>
      <c r="C11" s="29"/>
      <c r="D11" s="29"/>
      <c r="E11" s="29"/>
      <c r="F11" s="29"/>
      <c r="G11" s="29"/>
      <c r="H11" s="29"/>
    </row>
    <row r="12" spans="2:19" x14ac:dyDescent="0.2">
      <c r="B12" s="30" t="s">
        <v>22</v>
      </c>
      <c r="C12" s="36">
        <f>IF(COUNTA('Matriz Indicadores'!G6:G47)=0,0,MAX(COUNTIF('Matriz Indicadores'!G6:G47,0),COUNTIF('Matriz Indicadores'!G6:G47,"")))</f>
        <v>0</v>
      </c>
      <c r="D12" s="36">
        <f>IF(COUNTA('Matriz Indicadores'!H6:H47)=0,0,MAX(COUNTIF('Matriz Indicadores'!H6:H47,0),COUNTIF('Matriz Indicadores'!H6:H47,"")))</f>
        <v>0</v>
      </c>
      <c r="E12" s="36">
        <f>IF(COUNTA('Matriz Indicadores'!I6:I47)=0,0,MAX(COUNTIF('Matriz Indicadores'!I6:I47,0),COUNTIF('Matriz Indicadores'!I6:I47,"")))</f>
        <v>0</v>
      </c>
      <c r="F12" s="36">
        <f>IF(COUNTA('Matriz Indicadores'!J6:J47)=0,0,MAX(COUNTIF('Matriz Indicadores'!J6:J47,0),COUNTIF('Matriz Indicadores'!J6:J47,"")))</f>
        <v>0</v>
      </c>
      <c r="G12" s="36">
        <f>IF(COUNTA('Matriz Indicadores'!K6:K47)=0,0,MAX(COUNTIF('Matriz Indicadores'!K6:K47,0),COUNTIF('Matriz Indicadores'!K6:K47,"")))</f>
        <v>0</v>
      </c>
      <c r="H12" s="36">
        <f>IF(COUNTA('Matriz Indicadores'!L6:L47)=0,0,MAX(COUNTIF('Matriz Indicadores'!L6:L47,0),COUNTIF('Matriz Indicadores'!L6:L47,"")))</f>
        <v>0</v>
      </c>
    </row>
    <row r="13" spans="2:19" x14ac:dyDescent="0.2">
      <c r="B13" s="30" t="s">
        <v>23</v>
      </c>
      <c r="C13" s="37">
        <f>COUNTIF('Matriz Indicadores'!G6:G47,25)</f>
        <v>0</v>
      </c>
      <c r="D13" s="37">
        <f>COUNTIF('Matriz Indicadores'!H6:H47,25)</f>
        <v>0</v>
      </c>
      <c r="E13" s="37">
        <f>COUNTIF('Matriz Indicadores'!I6:I47,25)</f>
        <v>0</v>
      </c>
      <c r="F13" s="37">
        <f>COUNTIF('Matriz Indicadores'!J6:J47,25)</f>
        <v>0</v>
      </c>
      <c r="G13" s="37">
        <f>COUNTIF('Matriz Indicadores'!K6:K47,25)</f>
        <v>0</v>
      </c>
      <c r="H13" s="37">
        <f>COUNTIF('Matriz Indicadores'!L6:L47,25)</f>
        <v>0</v>
      </c>
    </row>
    <row r="14" spans="2:19" x14ac:dyDescent="0.2">
      <c r="B14" s="30" t="s">
        <v>24</v>
      </c>
      <c r="C14" s="38">
        <f>COUNTIF('Matriz Indicadores'!G6:G47,50)</f>
        <v>0</v>
      </c>
      <c r="D14" s="38">
        <f>COUNTIF('Matriz Indicadores'!H6:H47,50)</f>
        <v>0</v>
      </c>
      <c r="E14" s="38">
        <f>COUNTIF('Matriz Indicadores'!I6:I47,50)</f>
        <v>0</v>
      </c>
      <c r="F14" s="38">
        <f>COUNTIF('Matriz Indicadores'!J6:J47,50)</f>
        <v>0</v>
      </c>
      <c r="G14" s="38">
        <f>COUNTIF('Matriz Indicadores'!K6:K47,50)</f>
        <v>0</v>
      </c>
      <c r="H14" s="38">
        <f>COUNTIF('Matriz Indicadores'!L6:L47,50)</f>
        <v>0</v>
      </c>
    </row>
    <row r="15" spans="2:19" x14ac:dyDescent="0.2">
      <c r="B15" s="30" t="s">
        <v>25</v>
      </c>
      <c r="C15" s="39">
        <f>COUNTIF('Matriz Indicadores'!G6:G47,75)</f>
        <v>0</v>
      </c>
      <c r="D15" s="39">
        <f>COUNTIF('Matriz Indicadores'!H6:H47,75)</f>
        <v>0</v>
      </c>
      <c r="E15" s="39">
        <f>COUNTIF('Matriz Indicadores'!I6:I47,75)</f>
        <v>0</v>
      </c>
      <c r="F15" s="39">
        <f>COUNTIF('Matriz Indicadores'!J6:J47,75)</f>
        <v>0</v>
      </c>
      <c r="G15" s="39">
        <f>COUNTIF('Matriz Indicadores'!K6:K47,75)</f>
        <v>0</v>
      </c>
      <c r="H15" s="39">
        <f>COUNTIF('Matriz Indicadores'!L6:L47,75)</f>
        <v>0</v>
      </c>
    </row>
    <row r="16" spans="2:19" x14ac:dyDescent="0.2">
      <c r="B16" s="30" t="s">
        <v>26</v>
      </c>
      <c r="C16" s="40">
        <f>COUNTIF('Matriz Indicadores'!G6:G47,100)</f>
        <v>0</v>
      </c>
      <c r="D16" s="40">
        <f>COUNTIF('Matriz Indicadores'!H6:H47,100)</f>
        <v>0</v>
      </c>
      <c r="E16" s="40">
        <f>COUNTIF('Matriz Indicadores'!I6:I47,100)</f>
        <v>0</v>
      </c>
      <c r="F16" s="40">
        <f>COUNTIF('Matriz Indicadores'!J6:J47,100)</f>
        <v>0</v>
      </c>
      <c r="G16" s="40">
        <f>COUNTIF('Matriz Indicadores'!K6:K47,100)</f>
        <v>0</v>
      </c>
      <c r="H16" s="40">
        <f>COUNTIF('Matriz Indicadores'!L6:L47,100)</f>
        <v>0</v>
      </c>
    </row>
    <row r="19" spans="2:9" ht="19.899999999999999" customHeight="1" thickBot="1" x14ac:dyDescent="0.25">
      <c r="B19" s="32" t="s">
        <v>21</v>
      </c>
      <c r="C19" s="33">
        <v>2020</v>
      </c>
      <c r="D19" s="33">
        <v>2021</v>
      </c>
      <c r="E19" s="33">
        <v>2022</v>
      </c>
      <c r="F19" s="33">
        <v>2023</v>
      </c>
      <c r="G19" s="33">
        <v>2024</v>
      </c>
      <c r="H19" s="33">
        <v>2025</v>
      </c>
    </row>
    <row r="20" spans="2:9" ht="7.15" customHeight="1" x14ac:dyDescent="0.2">
      <c r="B20" s="27"/>
      <c r="C20" s="29"/>
      <c r="D20" s="29"/>
      <c r="E20" s="29"/>
      <c r="F20" s="29"/>
      <c r="G20" s="29"/>
      <c r="H20" s="29"/>
    </row>
    <row r="21" spans="2:9" ht="19.899999999999999" customHeight="1" x14ac:dyDescent="0.2">
      <c r="B21" s="26" t="s">
        <v>8</v>
      </c>
      <c r="C21" s="31" t="str">
        <f>IF(COUNTA(Educación_2014)=0,"-",SUM(Educación_2014)/(COUNT(Educación_2014)+COUNTBLANK(Educación_2014)))</f>
        <v>-</v>
      </c>
      <c r="D21" s="31" t="str">
        <f>IF(COUNTA(Educación_2015)=0,"-",SUM(Educación_2015)/(COUNT(Educación_2015)+COUNTBLANK(Educación_2015)))</f>
        <v>-</v>
      </c>
      <c r="E21" s="31" t="str">
        <f>IF(COUNTA(Educación_2016)=0,"-",SUM(Educación_2016)/(COUNT(Educación_2016)+COUNTBLANK(Educación_2016)))</f>
        <v>-</v>
      </c>
      <c r="F21" s="31" t="str">
        <f>IF(COUNTA(Educación_2017)=0,"-",SUM(Educación_2017)/(COUNT(Educación_2017)+COUNTBLANK(Educación_2017)))</f>
        <v>-</v>
      </c>
      <c r="G21" s="31" t="str">
        <f>IF(COUNTA(Educación_2018)=0,"-",SUM(Educación_2018)/(COUNT(Educación_2018)+COUNTBLANK(Educación_2018)))</f>
        <v>-</v>
      </c>
      <c r="H21" s="31" t="str">
        <f>IF(COUNTA(Educación_2019)=0,"-",SUM(Educación_2019)/(COUNT(Educación_2019)+COUNTBLANK(Educación_2019)))</f>
        <v>-</v>
      </c>
      <c r="I21" s="30"/>
    </row>
    <row r="22" spans="2:9" ht="7.15" customHeight="1" x14ac:dyDescent="0.2">
      <c r="B22" s="26"/>
      <c r="C22" s="31"/>
      <c r="D22" s="31"/>
      <c r="E22" s="31"/>
      <c r="F22" s="31"/>
      <c r="G22" s="31"/>
      <c r="H22" s="31"/>
    </row>
    <row r="23" spans="2:9" ht="19.899999999999999" customHeight="1" x14ac:dyDescent="0.2">
      <c r="B23" s="26" t="s">
        <v>9</v>
      </c>
      <c r="C23" s="31" t="str">
        <f>IF(COUNTA(Incentivos_y_multas_2014)=0,"-",SUM(Incentivos_y_multas_2014)/(COUNT(Incentivos_y_multas_2014)+COUNTBLANK(Incentivos_y_multas_2014)))</f>
        <v>-</v>
      </c>
      <c r="D23" s="31" t="str">
        <f>IF(COUNTA(Incentivos_y_multas_2015)=0,"-",SUM(Incentivos_y_multas_2015)/(COUNT(Incentivos_y_multas_2015)+COUNTBLANK(Incentivos_y_multas_2015)))</f>
        <v>-</v>
      </c>
      <c r="E23" s="31" t="str">
        <f>IF(COUNTA(Incentivos_y_multas_2016)=0,"-",SUM(Incentivos_y_multas_2016)/(COUNT(Incentivos_y_multas_2016)+COUNTBLANK(Incentivos_y_multas_2016)))</f>
        <v>-</v>
      </c>
      <c r="F23" s="31" t="str">
        <f>IF(COUNTA(Incentivos_y_multas_2017)=0,"-",SUM(Incentivos_y_multas_2017)/(COUNT(Incentivos_y_multas_2017)+COUNTBLANK(Incentivos_y_multas_2017)))</f>
        <v>-</v>
      </c>
      <c r="G23" s="31" t="str">
        <f>IF(COUNTA(Incentivos_y_multas_2018)=0,"-",SUM(Incentivos_y_multas_2018)/(COUNT(Incentivos_y_multas_2018)+COUNTBLANK(Incentivos_y_multas_2018)))</f>
        <v>-</v>
      </c>
      <c r="H23" s="31" t="str">
        <f>IF(COUNTA(Incentivos_y_multas_2019)=0,"-",SUM(Incentivos_y_multas_2019)/(COUNT(Incentivos_y_multas_2019)+COUNTBLANK(Incentivos_y_multas_2019)))</f>
        <v>-</v>
      </c>
    </row>
    <row r="24" spans="2:9" ht="7.15" customHeight="1" x14ac:dyDescent="0.2">
      <c r="B24" s="26"/>
      <c r="C24" s="31"/>
      <c r="D24" s="31"/>
      <c r="E24" s="31"/>
      <c r="F24" s="31"/>
      <c r="G24" s="31"/>
      <c r="H24" s="31"/>
    </row>
    <row r="25" spans="2:9" ht="19.899999999999999" customHeight="1" x14ac:dyDescent="0.2">
      <c r="B25" s="26" t="s">
        <v>10</v>
      </c>
      <c r="C25" s="31" t="str">
        <f>IF(COUNTA(Recoleccion_2014)=0,"-",SUM(Recoleccion_2014)/(COUNT(Recoleccion_2014)+COUNTBLANK(Recoleccion_2014)))</f>
        <v>-</v>
      </c>
      <c r="D25" s="31" t="str">
        <f>IF(COUNTA(Recoleccion_2015)=0,"-",SUM(Recoleccion_2015)/(COUNT(Recoleccion_2015)+COUNTBLANK(Recoleccion_2015)))</f>
        <v>-</v>
      </c>
      <c r="E25" s="31" t="str">
        <f>IF(COUNTA(Recoleccion_2016)=0,"-",SUM(Recoleccion_2016)/(COUNT(Recoleccion_2016)+COUNTBLANK(Recoleccion_2016)))</f>
        <v>-</v>
      </c>
      <c r="F25" s="31" t="str">
        <f>IF(COUNTA(Recoleccion_2017)=0,"-",SUM(Recoleccion_2017)/(COUNT(Recoleccion_2017)+COUNTBLANK(Recoleccion_2017)))</f>
        <v>-</v>
      </c>
      <c r="G25" s="31" t="str">
        <f>IF(COUNTA(Recoleccion_2018)=0,"-",SUM(Recoleccion_2018)/(COUNT(Recoleccion_2018)+COUNTBLANK(Recoleccion_2018)))</f>
        <v>-</v>
      </c>
      <c r="H25" s="31" t="str">
        <f>IF(COUNTA(Recoleccion_2019)=0,"-",SUM(Recoleccion_2019)/(COUNT(Recoleccion_2019)+COUNTBLANK(Recoleccion_2019)))</f>
        <v>-</v>
      </c>
    </row>
    <row r="26" spans="2:9" ht="7.15" customHeight="1" x14ac:dyDescent="0.2">
      <c r="B26" s="26"/>
      <c r="C26" s="31"/>
      <c r="D26" s="31"/>
      <c r="E26" s="31"/>
      <c r="F26" s="31"/>
      <c r="G26" s="31"/>
      <c r="H26" s="31"/>
    </row>
    <row r="27" spans="2:9" ht="19.899999999999999" customHeight="1" x14ac:dyDescent="0.2">
      <c r="B27" s="26" t="s">
        <v>11</v>
      </c>
      <c r="C27" s="31" t="str">
        <f>IF(COUNTA(Residuos_No_Tradicionales_y_peligrosos_2014)=0,"-",SUM(Residuos_No_Tradicionales_y_peligrosos_2014)/(COUNT(Residuos_No_Tradicionales_y_peligrosos_2014)+COUNTBLANK(Residuos_No_Tradicionales_y_peligrosos_2014)))</f>
        <v>-</v>
      </c>
      <c r="D27" s="31" t="str">
        <f>IF(COUNTA(Residuos_No_Tradicionales_y_peligrosos_2015)=0,"-",SUM(Residuos_No_Tradicionales_y_peligrosos_2015)/(COUNT(Residuos_No_Tradicionales_y_peligrosos_2015)+COUNTBLANK(Residuos_No_Tradicionales_y_peligrosos_2015)))</f>
        <v>-</v>
      </c>
      <c r="E27" s="31" t="str">
        <f>IF(COUNTA(Residuos_No_Tradicionales_y_peligrosos_2016)=0,"-",SUM(Residuos_No_Tradicionales_y_peligrosos_2016)/(COUNT(Residuos_No_Tradicionales_y_peligrosos_2016)+COUNTBLANK(Residuos_No_Tradicionales_y_peligrosos_2016)))</f>
        <v>-</v>
      </c>
      <c r="F27" s="31" t="str">
        <f>IF(COUNTA(Residuos_No_Tradicionales_y_peligrosos_2017)=0,"-",SUM(Residuos_No_Tradicionales_y_peligrosos_2017)/(COUNT(Residuos_No_Tradicionales_y_peligrosos_2017)+COUNTBLANK(Residuos_No_Tradicionales_y_peligrosos_2017)))</f>
        <v>-</v>
      </c>
      <c r="G27" s="31" t="str">
        <f>IF(COUNTA(Residuos_No_Tradicionales_y_peligrosos_2018)=0,"-",SUM(Residuos_No_Tradicionales_y_peligrosos_2018)/(COUNT(Residuos_No_Tradicionales_y_peligrosos_2018)+COUNTBLANK(Residuos_No_Tradicionales_y_peligrosos_2018)))</f>
        <v>-</v>
      </c>
      <c r="H27" s="31" t="str">
        <f>IF(COUNTA(Residuos_No_Tradicionales_y_peligrosos_2019)=0,"-",SUM(Residuos_No_Tradicionales_y_peligrosos_2019)/(COUNT(Residuos_No_Tradicionales_y_peligrosos_2019)+COUNTBLANK(Residuos_No_Tradicionales_y_peligrosos_2019)))</f>
        <v>-</v>
      </c>
    </row>
    <row r="28" spans="2:9" ht="7.15" customHeight="1" x14ac:dyDescent="0.2">
      <c r="B28" s="26"/>
      <c r="C28" s="31"/>
      <c r="D28" s="31"/>
      <c r="E28" s="31"/>
      <c r="F28" s="31"/>
      <c r="G28" s="31"/>
      <c r="H28" s="31"/>
    </row>
    <row r="29" spans="2:9" ht="19.899999999999999" customHeight="1" x14ac:dyDescent="0.2">
      <c r="B29" s="26" t="s">
        <v>12</v>
      </c>
      <c r="C29" s="31" t="str">
        <f>IF(COUNTA(Residuos_valorizables_2014)=0,"-",SUM(Residuos_valorizables_2014)/(COUNT(Residuos_valorizables_2014)+COUNTBLANK(Residuos_valorizables_2014)))</f>
        <v>-</v>
      </c>
      <c r="D29" s="31" t="str">
        <f>IF(COUNTA(Residuos_valorizables_2015)=0,"-",SUM(Residuos_valorizables_2015)/(COUNT(Residuos_valorizables_2015)+COUNTBLANK(Residuos_valorizables_2015)))</f>
        <v>-</v>
      </c>
      <c r="E29" s="31" t="str">
        <f>IF(COUNTA(Residuos_valorizables_2016)=0,"-",SUM(Residuos_valorizables_2016)/(COUNT(Residuos_valorizables_2016)+COUNTBLANK(Residuos_valorizables_2016)))</f>
        <v>-</v>
      </c>
      <c r="F29" s="31" t="str">
        <f>IF(COUNTA(Residuos_valorizables_2017)=0,"-",SUM(Residuos_valorizables_2017)/(COUNT(Residuos_valorizables_2017)+COUNTBLANK(Residuos_valorizables_2017)))</f>
        <v>-</v>
      </c>
      <c r="G29" s="31" t="str">
        <f>IF(COUNTA(Residuos_valorizables_2018)=0,"-",SUM(Residuos_valorizables_2018)/(COUNT(Residuos_valorizables_2018)+COUNTBLANK(Residuos_valorizables_2018)))</f>
        <v>-</v>
      </c>
      <c r="H29" s="31" t="str">
        <f>IF(COUNTA(Residuos_valorizables_2019)=0,"-",SUM(Residuos_valorizables_2019)/(COUNT(Residuos_valorizables_2019)+COUNTBLANK(Residuos_valorizables_2019)))</f>
        <v>-</v>
      </c>
    </row>
    <row r="30" spans="2:9" ht="7.15" customHeight="1" x14ac:dyDescent="0.2">
      <c r="B30" s="26"/>
      <c r="C30" s="31"/>
      <c r="D30" s="31"/>
      <c r="E30" s="31"/>
      <c r="F30" s="31"/>
      <c r="G30" s="31"/>
      <c r="H30" s="31"/>
    </row>
    <row r="31" spans="2:9" ht="19.899999999999999" customHeight="1" x14ac:dyDescent="0.2">
      <c r="B31" s="26" t="s">
        <v>13</v>
      </c>
      <c r="C31" s="31" t="str">
        <f>IF(COUNTA(Limpieza_de_vias_2014)=0,"-",SUM(Limpieza_de_vias_2014)/(COUNT(Limpieza_de_vias_2014)+COUNTBLANK(Limpieza_de_vias_2014)))</f>
        <v>-</v>
      </c>
      <c r="D31" s="31" t="str">
        <f>IF(COUNTA(Limpieza_de_vias_2015)=0,"-",SUM(Limpieza_de_vias_2015)/(COUNT(Limpieza_de_vias_2015)+COUNTBLANK(Limpieza_de_vias_2015)))</f>
        <v>-</v>
      </c>
      <c r="E31" s="31" t="str">
        <f>IF(COUNTA(Limpieza_de_vias_2016)=0,"-",SUM(Limpieza_de_vias_2016)/(COUNT(Limpieza_de_vias_2016)+COUNTBLANK(Limpieza_de_vias_2016)))</f>
        <v>-</v>
      </c>
      <c r="F31" s="31" t="str">
        <f>IF(COUNTA(Limpieza_de_vias_2017)=0,"-",SUM(Limpieza_de_vias_2017)/(COUNT(Limpieza_de_vias_2017)+COUNTBLANK(Limpieza_de_vias_2017)))</f>
        <v>-</v>
      </c>
      <c r="G31" s="31" t="str">
        <f>IF(COUNTA(Limpieza_de_vias_2018)=0,"-",SUM(Limpieza_de_vias_2018)/(COUNT(Limpieza_de_vias_2018)+COUNTBLANK(Limpieza_de_vias_2018)))</f>
        <v>-</v>
      </c>
      <c r="H31" s="31" t="str">
        <f>IF(COUNTA(Limpieza_de_vias_2019)=0,"-",SUM(Limpieza_de_vias_2019)/(COUNT(Limpieza_de_vias_2019)+COUNTBLANK(Limpieza_de_vias_2019)))</f>
        <v>-</v>
      </c>
    </row>
    <row r="32" spans="2:9" ht="7.15" customHeight="1" x14ac:dyDescent="0.2">
      <c r="B32" s="26"/>
      <c r="C32" s="31"/>
      <c r="D32" s="31"/>
      <c r="E32" s="31"/>
      <c r="F32" s="31"/>
      <c r="G32" s="31"/>
      <c r="H32" s="31"/>
    </row>
    <row r="33" spans="2:8" ht="19.899999999999999" customHeight="1" x14ac:dyDescent="0.2">
      <c r="B33" s="26" t="s">
        <v>15</v>
      </c>
      <c r="C33" s="31" t="str">
        <f>IF(COUNTA(Facilitacion_2014)=0,"-",SUM(Facilitacion_2014)/(COUNT(Facilitacion_2014)+COUNTBLANK(Facilitacion_2014)))</f>
        <v>-</v>
      </c>
      <c r="D33" s="31" t="str">
        <f>IF(COUNTA(Facilitacion_2015)=0,"-",SUM(Facilitacion_2015)/(COUNT(Facilitacion_2015)+COUNTBLANK(Facilitacion_2015)))</f>
        <v>-</v>
      </c>
      <c r="E33" s="31" t="str">
        <f>IF(COUNTA(Facilitacion_2016)=0,"-",SUM(Facilitacion_2016)/(COUNT(Facilitacion_2016)+COUNTBLANK(Facilitacion_2016)))</f>
        <v>-</v>
      </c>
      <c r="F33" s="31" t="str">
        <f>IF(COUNTA(Facilitacion_2017)=0,"-",SUM(Facilitacion_2017)/(COUNT(Facilitacion_2017)+COUNTBLANK(Facilitacion_2017)))</f>
        <v>-</v>
      </c>
      <c r="G33" s="31" t="str">
        <f>IF(COUNTA(Facilitacion_2018)=0,"-",SUM(Facilitacion_2018)/(COUNT(Facilitacion_2018)+COUNTBLANK(Facilitacion_2018)))</f>
        <v>-</v>
      </c>
      <c r="H33" s="31" t="str">
        <f>IF(COUNTA(Facilitacion_2019)=0,"-",SUM(Facilitacion_2019)/(COUNT(Facilitacion_2019)+COUNTBLANK(Facilitacion_2019)))</f>
        <v>-</v>
      </c>
    </row>
    <row r="34" spans="2:8" ht="7.15" customHeight="1" thickBot="1" x14ac:dyDescent="0.25">
      <c r="B34" s="34"/>
      <c r="C34" s="35"/>
      <c r="D34" s="35"/>
      <c r="E34" s="35"/>
      <c r="F34" s="35"/>
      <c r="G34" s="35"/>
      <c r="H34" s="35"/>
    </row>
    <row r="35" spans="2:8" ht="31.15" customHeight="1" x14ac:dyDescent="0.2"/>
    <row r="36" spans="2:8" ht="19.149999999999999" customHeight="1" thickBot="1" x14ac:dyDescent="0.25">
      <c r="B36" s="32" t="s">
        <v>31</v>
      </c>
      <c r="C36" s="33">
        <v>2020</v>
      </c>
      <c r="D36" s="33">
        <v>2021</v>
      </c>
      <c r="E36" s="33">
        <v>2022</v>
      </c>
      <c r="F36" s="33">
        <v>2023</v>
      </c>
      <c r="G36" s="33">
        <v>2024</v>
      </c>
      <c r="H36" s="33">
        <v>2025</v>
      </c>
    </row>
    <row r="37" spans="2:8" ht="6" customHeight="1" x14ac:dyDescent="0.2">
      <c r="B37" s="27"/>
      <c r="C37" s="29"/>
      <c r="D37" s="29"/>
      <c r="E37" s="29"/>
      <c r="F37" s="29"/>
      <c r="G37" s="29"/>
      <c r="H37" s="29"/>
    </row>
    <row r="38" spans="2:8" ht="19.899999999999999" customHeight="1" x14ac:dyDescent="0.2">
      <c r="B38" s="26" t="s">
        <v>8</v>
      </c>
      <c r="C38" s="58">
        <f>COUNT(Educación_2014)+COUNTBLANK(Educación_2014)</f>
        <v>6</v>
      </c>
      <c r="D38" s="58">
        <f>COUNT(Educación_2015)+COUNTBLANK(Educación_2015)</f>
        <v>6</v>
      </c>
      <c r="E38" s="58">
        <f>COUNT(Educación_2016)+COUNTBLANK(Educación_2016)</f>
        <v>6</v>
      </c>
      <c r="F38" s="58">
        <f>COUNT(Educación_2017)+COUNTBLANK(Educación_2017)</f>
        <v>6</v>
      </c>
      <c r="G38" s="58">
        <f>COUNT(Educación_2018)+COUNTBLANK(Educación_2018)</f>
        <v>6</v>
      </c>
      <c r="H38" s="58">
        <f>COUNT(Educación_2019)+COUNTBLANK(Educación_2019)</f>
        <v>6</v>
      </c>
    </row>
    <row r="39" spans="2:8" ht="19.899999999999999" customHeight="1" x14ac:dyDescent="0.2">
      <c r="B39" s="26" t="s">
        <v>9</v>
      </c>
      <c r="C39" s="58">
        <f>COUNT(Incentivos_y_multas_2014)+COUNTBLANK(Incentivos_y_multas_2014)</f>
        <v>5</v>
      </c>
      <c r="D39" s="58">
        <f>COUNT(Incentivos_y_multas_2015)+COUNTBLANK(Incentivos_y_multas_2015)</f>
        <v>5</v>
      </c>
      <c r="E39" s="58">
        <f>COUNT(Incentivos_y_multas_2016)+COUNTBLANK(Incentivos_y_multas_2016)</f>
        <v>5</v>
      </c>
      <c r="F39" s="58">
        <f>COUNT(Incentivos_y_multas_2017)+COUNTBLANK(Incentivos_y_multas_2017)</f>
        <v>5</v>
      </c>
      <c r="G39" s="58">
        <f>COUNT(Incentivos_y_multas_2018)+COUNTBLANK(Incentivos_y_multas_2018)</f>
        <v>5</v>
      </c>
      <c r="H39" s="58">
        <f>COUNT(Incentivos_y_multas_2019)+COUNTBLANK(Incentivos_y_multas_2019)</f>
        <v>5</v>
      </c>
    </row>
    <row r="40" spans="2:8" ht="19.899999999999999" customHeight="1" x14ac:dyDescent="0.2">
      <c r="B40" s="26" t="s">
        <v>10</v>
      </c>
      <c r="C40" s="58">
        <f>COUNT(Recoleccion_2014)+COUNTBLANK(Recoleccion_2014)</f>
        <v>8</v>
      </c>
      <c r="D40" s="58">
        <f>COUNT(Recoleccion_2015)+COUNTBLANK(Recoleccion_2015)</f>
        <v>8</v>
      </c>
      <c r="E40" s="58">
        <f>COUNT(Recoleccion_2016)+COUNTBLANK(Recoleccion_2016)</f>
        <v>8</v>
      </c>
      <c r="F40" s="58">
        <f>COUNT(Recoleccion_2017)+COUNTBLANK(Recoleccion_2017)</f>
        <v>8</v>
      </c>
      <c r="G40" s="58">
        <f>COUNT(Recoleccion_2018)+COUNTBLANK(Recoleccion_2018)</f>
        <v>8</v>
      </c>
      <c r="H40" s="58">
        <f>COUNT(Recoleccion_2019)+COUNTBLANK(Recoleccion_2019)</f>
        <v>8</v>
      </c>
    </row>
    <row r="41" spans="2:8" ht="19.899999999999999" customHeight="1" x14ac:dyDescent="0.2">
      <c r="B41" s="26" t="s">
        <v>11</v>
      </c>
      <c r="C41" s="58">
        <f>COUNT(Residuos_No_Tradicionales_y_peligrosos_2014)+COUNTBLANK(Residuos_No_Tradicionales_y_peligrosos_2014)</f>
        <v>5</v>
      </c>
      <c r="D41" s="58">
        <f>COUNT(Residuos_No_Tradicionales_y_peligrosos_2015)+COUNTBLANK(Residuos_No_Tradicionales_y_peligrosos_2015)</f>
        <v>5</v>
      </c>
      <c r="E41" s="58">
        <f>COUNT(Residuos_No_Tradicionales_y_peligrosos_2016)+COUNTBLANK(Residuos_No_Tradicionales_y_peligrosos_2016)</f>
        <v>5</v>
      </c>
      <c r="F41" s="58">
        <f>COUNT(Residuos_No_Tradicionales_y_peligrosos_2017)+COUNTBLANK(Residuos_No_Tradicionales_y_peligrosos_2017)</f>
        <v>5</v>
      </c>
      <c r="G41" s="58">
        <f>COUNT(Residuos_No_Tradicionales_y_peligrosos_2018)+COUNTBLANK(Residuos_No_Tradicionales_y_peligrosos_2018)</f>
        <v>5</v>
      </c>
      <c r="H41" s="58">
        <f>COUNT(Residuos_No_Tradicionales_y_peligrosos_2019)+COUNTBLANK(Residuos_No_Tradicionales_y_peligrosos_2019)</f>
        <v>5</v>
      </c>
    </row>
    <row r="42" spans="2:8" ht="19.899999999999999" customHeight="1" x14ac:dyDescent="0.2">
      <c r="B42" s="26" t="s">
        <v>12</v>
      </c>
      <c r="C42" s="58">
        <f>COUNT(Residuos_valorizables_2014)+COUNTBLANK(Residuos_valorizables_2014)</f>
        <v>6</v>
      </c>
      <c r="D42" s="58">
        <f>COUNT(Residuos_valorizables_2015)+COUNTBLANK(Residuos_valorizables_2015)</f>
        <v>6</v>
      </c>
      <c r="E42" s="58">
        <f>COUNT(Residuos_valorizables_2016)+COUNTBLANK(Residuos_valorizables_2016)</f>
        <v>6</v>
      </c>
      <c r="F42" s="58">
        <f>COUNT(Residuos_valorizables_2017)+COUNTBLANK(Residuos_valorizables_2017)</f>
        <v>6</v>
      </c>
      <c r="G42" s="58">
        <f>COUNT(Residuos_valorizables_2018)+COUNTBLANK(Residuos_valorizables_2018)</f>
        <v>6</v>
      </c>
      <c r="H42" s="58">
        <f>COUNT(Residuos_valorizables_2019)+COUNTBLANK(Residuos_valorizables_2019)</f>
        <v>6</v>
      </c>
    </row>
    <row r="43" spans="2:8" ht="19.149999999999999" customHeight="1" x14ac:dyDescent="0.2">
      <c r="B43" s="26" t="s">
        <v>13</v>
      </c>
      <c r="C43" s="58">
        <f>COUNT(Limpieza_de_vias_2014)+COUNTBLANK(Limpieza_de_vias_2014)</f>
        <v>6</v>
      </c>
      <c r="D43" s="58">
        <f>COUNT(Limpieza_de_vias_2015)+COUNTBLANK(Limpieza_de_vias_2015)</f>
        <v>6</v>
      </c>
      <c r="E43" s="58">
        <f>COUNT(Limpieza_de_vias_2016)+COUNTBLANK(Limpieza_de_vias_2016)</f>
        <v>6</v>
      </c>
      <c r="F43" s="58">
        <f>COUNT(Limpieza_de_vias_2017)+COUNTBLANK(Limpieza_de_vias_2017)</f>
        <v>6</v>
      </c>
      <c r="G43" s="58">
        <f>COUNT(Limpieza_de_vias_2018)+COUNTBLANK(Limpieza_de_vias_2018)</f>
        <v>6</v>
      </c>
      <c r="H43" s="58">
        <f>COUNT(Limpieza_de_vias_2019)+COUNTBLANK(Limpieza_de_vias_2019)</f>
        <v>6</v>
      </c>
    </row>
    <row r="44" spans="2:8" ht="20.45" customHeight="1" x14ac:dyDescent="0.2">
      <c r="B44" s="26" t="s">
        <v>15</v>
      </c>
      <c r="C44" s="58">
        <f>COUNT(Facilitacion_2014)+COUNTBLANK(Facilitacion_2014)</f>
        <v>5</v>
      </c>
      <c r="D44" s="58">
        <f>COUNT(Facilitacion_2015)+COUNTBLANK(Facilitacion_2015)</f>
        <v>5</v>
      </c>
      <c r="E44" s="58">
        <f>COUNT(Facilitacion_2016)+COUNTBLANK(Facilitacion_2016)</f>
        <v>5</v>
      </c>
      <c r="F44" s="58">
        <f>COUNT(Facilitacion_2017)+COUNTBLANK(Facilitacion_2017)</f>
        <v>5</v>
      </c>
      <c r="G44" s="58">
        <f>COUNT(Facilitacion_2018)+COUNTBLANK(Facilitacion_2018)</f>
        <v>5</v>
      </c>
      <c r="H44" s="58">
        <f>COUNT(Facilitacion_2019)+COUNTBLANK(Facilitacion_2019)</f>
        <v>5</v>
      </c>
    </row>
    <row r="45" spans="2:8" ht="18.600000000000001" customHeight="1" x14ac:dyDescent="0.2">
      <c r="B45" s="61" t="s">
        <v>30</v>
      </c>
      <c r="C45" s="62">
        <f>SUM(C38:C44)</f>
        <v>41</v>
      </c>
      <c r="D45" s="62">
        <f t="shared" ref="D45:H45" si="1">SUM(D38:D44)</f>
        <v>41</v>
      </c>
      <c r="E45" s="62">
        <f t="shared" si="1"/>
        <v>41</v>
      </c>
      <c r="F45" s="62">
        <f t="shared" si="1"/>
        <v>41</v>
      </c>
      <c r="G45" s="62">
        <f t="shared" si="1"/>
        <v>41</v>
      </c>
      <c r="H45" s="62">
        <f t="shared" si="1"/>
        <v>41</v>
      </c>
    </row>
    <row r="46" spans="2:8" x14ac:dyDescent="0.2">
      <c r="B46" s="54"/>
      <c r="C46" s="54"/>
      <c r="D46" s="54"/>
      <c r="E46" s="54"/>
      <c r="F46" s="54"/>
      <c r="G46" s="54"/>
      <c r="H46" s="54"/>
    </row>
    <row r="47" spans="2:8" x14ac:dyDescent="0.2">
      <c r="B47" s="54"/>
      <c r="C47" s="54"/>
      <c r="D47" s="54"/>
      <c r="E47" s="54"/>
      <c r="F47" s="54"/>
      <c r="G47" s="54"/>
      <c r="H47" s="54"/>
    </row>
    <row r="48" spans="2:8" x14ac:dyDescent="0.2">
      <c r="B48" s="54"/>
      <c r="C48" s="54"/>
      <c r="D48" s="54"/>
      <c r="E48" s="54"/>
      <c r="F48" s="54"/>
      <c r="G48" s="54"/>
      <c r="H48" s="54"/>
    </row>
    <row r="49" spans="4:6" x14ac:dyDescent="0.2">
      <c r="D49" s="56"/>
    </row>
    <row r="50" spans="4:6" x14ac:dyDescent="0.2">
      <c r="D50" s="56"/>
    </row>
    <row r="51" spans="4:6" x14ac:dyDescent="0.2">
      <c r="D51" s="56"/>
      <c r="E51" s="56"/>
      <c r="F51" s="56"/>
    </row>
    <row r="52" spans="4:6" x14ac:dyDescent="0.2">
      <c r="D52" s="56"/>
      <c r="E52" s="56"/>
      <c r="F52" s="56"/>
    </row>
  </sheetData>
  <conditionalFormatting sqref="C21:H33">
    <cfRule type="colorScale" priority="4">
      <colorScale>
        <cfvo type="num" val="0"/>
        <cfvo type="num" val="50"/>
        <cfvo type="num" val="100"/>
        <color rgb="FFFF0000"/>
        <color rgb="FFFFFF00"/>
        <color rgb="FF00B050"/>
      </colorScale>
    </cfRule>
  </conditionalFormatting>
  <conditionalFormatting sqref="C12:H16">
    <cfRule type="cellIs" dxfId="0" priority="1" operator="equal">
      <formula>0</formula>
    </cfRule>
  </conditionalFormatting>
  <pageMargins left="0.7" right="0.7" top="0.75" bottom="0.75" header="0.3" footer="0.3"/>
  <pageSetup paperSize="9" orientation="portrait" r:id="rId1"/>
  <ignoredErrors>
    <ignoredError sqref="C13:H13 C14:C16 D14:D16 E14:E16 F14:F16 G14:G16 H14:H16 C12 E5:H5 E12:H12 C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16"/>
  <sheetViews>
    <sheetView showGridLines="0" zoomScale="115" zoomScaleNormal="115" workbookViewId="0">
      <selection activeCell="O10" sqref="O10"/>
    </sheetView>
  </sheetViews>
  <sheetFormatPr baseColWidth="10" defaultColWidth="9.140625" defaultRowHeight="12.75" x14ac:dyDescent="0.2"/>
  <cols>
    <col min="1" max="1" width="1.42578125" style="66" customWidth="1"/>
    <col min="2" max="3" width="4.7109375" style="66" customWidth="1"/>
    <col min="4" max="4" width="51.42578125" style="66" customWidth="1"/>
    <col min="5" max="6" width="15" style="66" customWidth="1"/>
    <col min="7" max="7" width="25" style="66" customWidth="1"/>
    <col min="8" max="8" width="16.42578125" style="66" customWidth="1"/>
    <col min="9" max="9" width="15" style="73" customWidth="1"/>
    <col min="10" max="10" width="1.42578125" style="66" customWidth="1"/>
    <col min="11" max="16384" width="9.140625" style="66"/>
  </cols>
  <sheetData>
    <row r="1" spans="2:10" s="69" customFormat="1" ht="13.5" customHeight="1" thickBot="1" x14ac:dyDescent="0.25">
      <c r="B1" s="85" t="s">
        <v>36</v>
      </c>
      <c r="C1" s="71"/>
      <c r="D1" s="85"/>
      <c r="E1" s="71"/>
      <c r="F1" s="71"/>
      <c r="G1" s="71"/>
      <c r="H1" s="71"/>
      <c r="I1" s="70" t="s">
        <v>1</v>
      </c>
      <c r="J1" s="78"/>
    </row>
    <row r="2" spans="2:10" ht="18" x14ac:dyDescent="0.2">
      <c r="B2" s="124" t="s">
        <v>37</v>
      </c>
      <c r="C2" s="124"/>
      <c r="D2" s="124"/>
      <c r="E2" s="124"/>
      <c r="F2" s="124"/>
      <c r="G2" s="124"/>
      <c r="H2" s="124"/>
      <c r="I2" s="124"/>
      <c r="J2" s="77"/>
    </row>
    <row r="3" spans="2:10" ht="12.75" customHeight="1" x14ac:dyDescent="0.2">
      <c r="B3" s="125" t="s">
        <v>126</v>
      </c>
      <c r="C3" s="125"/>
      <c r="D3" s="125"/>
      <c r="E3" s="125"/>
      <c r="F3" s="125"/>
      <c r="G3" s="125"/>
      <c r="H3" s="125"/>
      <c r="I3" s="125"/>
      <c r="J3" s="74"/>
    </row>
    <row r="4" spans="2:10" s="67" customFormat="1" ht="25.5" x14ac:dyDescent="0.2">
      <c r="B4" s="68" t="s">
        <v>157</v>
      </c>
      <c r="C4" s="68" t="s">
        <v>156</v>
      </c>
      <c r="D4" s="68" t="s">
        <v>35</v>
      </c>
      <c r="E4" s="68" t="s">
        <v>0</v>
      </c>
      <c r="F4" s="68" t="s">
        <v>34</v>
      </c>
      <c r="G4" s="68" t="s">
        <v>33</v>
      </c>
      <c r="H4" s="68" t="s">
        <v>32</v>
      </c>
      <c r="I4" s="76" t="s">
        <v>183</v>
      </c>
      <c r="J4" s="75"/>
    </row>
    <row r="5" spans="2:10" s="67" customFormat="1" ht="76.5" x14ac:dyDescent="0.2">
      <c r="B5" s="15">
        <v>1</v>
      </c>
      <c r="C5" s="15">
        <v>1</v>
      </c>
      <c r="D5" s="79" t="s">
        <v>127</v>
      </c>
      <c r="E5" s="80" t="s">
        <v>146</v>
      </c>
      <c r="F5" s="80" t="s">
        <v>38</v>
      </c>
      <c r="G5" s="79" t="s">
        <v>39</v>
      </c>
      <c r="H5" s="79" t="s">
        <v>40</v>
      </c>
      <c r="I5" s="79" t="s">
        <v>2</v>
      </c>
      <c r="J5" s="46"/>
    </row>
    <row r="6" spans="2:10" s="16" customFormat="1" ht="76.5" x14ac:dyDescent="0.2">
      <c r="B6" s="15">
        <v>2</v>
      </c>
      <c r="C6" s="94">
        <v>2</v>
      </c>
      <c r="D6" s="81" t="s">
        <v>42</v>
      </c>
      <c r="E6" s="80" t="str">
        <f>+$E$5</f>
        <v>Gestión Integral de Residuos</v>
      </c>
      <c r="F6" s="79" t="s">
        <v>38</v>
      </c>
      <c r="G6" s="79" t="s">
        <v>43</v>
      </c>
      <c r="H6" s="79" t="s">
        <v>44</v>
      </c>
      <c r="I6" s="79" t="s">
        <v>2</v>
      </c>
      <c r="J6" s="74"/>
    </row>
    <row r="7" spans="2:10" s="67" customFormat="1" ht="134.25" customHeight="1" x14ac:dyDescent="0.2">
      <c r="B7" s="21">
        <v>3</v>
      </c>
      <c r="C7" s="21">
        <v>3</v>
      </c>
      <c r="D7" s="79" t="s">
        <v>177</v>
      </c>
      <c r="E7" s="80" t="str">
        <f t="shared" ref="E7:E11" si="0">+$E$5</f>
        <v>Gestión Integral de Residuos</v>
      </c>
      <c r="F7" s="80" t="s">
        <v>38</v>
      </c>
      <c r="G7" s="8" t="s">
        <v>45</v>
      </c>
      <c r="H7" s="8" t="s">
        <v>162</v>
      </c>
      <c r="I7" s="10" t="s">
        <v>2</v>
      </c>
      <c r="J7" s="46"/>
    </row>
    <row r="8" spans="2:10" s="67" customFormat="1" ht="38.25" x14ac:dyDescent="0.2">
      <c r="B8" s="21">
        <v>4</v>
      </c>
      <c r="C8" s="21">
        <v>4</v>
      </c>
      <c r="D8" s="79" t="s">
        <v>128</v>
      </c>
      <c r="E8" s="80" t="str">
        <f t="shared" si="0"/>
        <v>Gestión Integral de Residuos</v>
      </c>
      <c r="F8" s="80" t="s">
        <v>38</v>
      </c>
      <c r="G8" s="79" t="s">
        <v>129</v>
      </c>
      <c r="H8" s="79" t="s">
        <v>3</v>
      </c>
      <c r="I8" s="79" t="s">
        <v>2</v>
      </c>
      <c r="J8" s="46"/>
    </row>
    <row r="9" spans="2:10" s="67" customFormat="1" ht="63.75" x14ac:dyDescent="0.2">
      <c r="B9" s="21">
        <v>5</v>
      </c>
      <c r="C9" s="21">
        <v>5</v>
      </c>
      <c r="D9" s="79" t="s">
        <v>47</v>
      </c>
      <c r="E9" s="80" t="str">
        <f t="shared" si="0"/>
        <v>Gestión Integral de Residuos</v>
      </c>
      <c r="F9" s="80" t="s">
        <v>38</v>
      </c>
      <c r="G9" s="79" t="s">
        <v>46</v>
      </c>
      <c r="H9" s="79" t="s">
        <v>163</v>
      </c>
      <c r="I9" s="79">
        <v>2021</v>
      </c>
      <c r="J9" s="46"/>
    </row>
    <row r="10" spans="2:10" s="67" customFormat="1" ht="38.25" x14ac:dyDescent="0.2">
      <c r="B10" s="21">
        <v>6</v>
      </c>
      <c r="C10" s="21">
        <v>6</v>
      </c>
      <c r="D10" s="79" t="s">
        <v>49</v>
      </c>
      <c r="E10" s="80" t="str">
        <f t="shared" si="0"/>
        <v>Gestión Integral de Residuos</v>
      </c>
      <c r="F10" s="79" t="s">
        <v>38</v>
      </c>
      <c r="G10" s="79" t="s">
        <v>50</v>
      </c>
      <c r="H10" s="79" t="s">
        <v>48</v>
      </c>
      <c r="I10" s="79" t="s">
        <v>2</v>
      </c>
      <c r="J10" s="2"/>
    </row>
    <row r="11" spans="2:10" ht="39.75" customHeight="1" x14ac:dyDescent="0.2">
      <c r="B11" s="21">
        <v>7</v>
      </c>
      <c r="C11" s="21">
        <v>7</v>
      </c>
      <c r="D11" s="79" t="s">
        <v>184</v>
      </c>
      <c r="E11" s="80" t="str">
        <f t="shared" si="0"/>
        <v>Gestión Integral de Residuos</v>
      </c>
      <c r="F11" s="79" t="s">
        <v>38</v>
      </c>
      <c r="G11" s="79" t="s">
        <v>185</v>
      </c>
      <c r="H11" s="79" t="s">
        <v>186</v>
      </c>
      <c r="I11" s="79" t="s">
        <v>2</v>
      </c>
    </row>
    <row r="12" spans="2:10" x14ac:dyDescent="0.2">
      <c r="D12" s="108"/>
    </row>
    <row r="16" spans="2:10" x14ac:dyDescent="0.2">
      <c r="G16" s="53"/>
    </row>
  </sheetData>
  <mergeCells count="2">
    <mergeCell ref="B2:I2"/>
    <mergeCell ref="B3:I3"/>
  </mergeCells>
  <phoneticPr fontId="7" type="noConversion"/>
  <pageMargins left="0.75" right="0.75" top="1" bottom="1" header="0.5" footer="0.5"/>
  <pageSetup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14"/>
  <sheetViews>
    <sheetView showGridLines="0" zoomScale="115" zoomScaleNormal="115" workbookViewId="0">
      <selection activeCell="M6" sqref="M6"/>
    </sheetView>
  </sheetViews>
  <sheetFormatPr baseColWidth="10" defaultColWidth="9.140625" defaultRowHeight="12.75" x14ac:dyDescent="0.2"/>
  <cols>
    <col min="1" max="1" width="1.42578125" style="66" customWidth="1"/>
    <col min="2" max="3" width="4.7109375" style="66" customWidth="1"/>
    <col min="4" max="4" width="55.28515625" style="66" customWidth="1"/>
    <col min="5" max="6" width="15" style="66" customWidth="1"/>
    <col min="7" max="7" width="25" style="66" customWidth="1"/>
    <col min="8" max="8" width="16.42578125" style="66" customWidth="1"/>
    <col min="9" max="9" width="15" style="66" customWidth="1"/>
    <col min="10" max="10" width="1.42578125" style="66" customWidth="1"/>
    <col min="11" max="16384" width="9.140625" style="66"/>
  </cols>
  <sheetData>
    <row r="1" spans="2:9" s="69" customFormat="1" ht="13.5" customHeight="1" thickBot="1" x14ac:dyDescent="0.25">
      <c r="B1" s="85" t="s">
        <v>36</v>
      </c>
      <c r="C1" s="71"/>
      <c r="D1" s="85"/>
      <c r="E1" s="71"/>
      <c r="F1" s="71"/>
      <c r="G1" s="71"/>
      <c r="H1" s="71"/>
      <c r="I1" s="70" t="s">
        <v>1</v>
      </c>
    </row>
    <row r="2" spans="2:9" ht="18" x14ac:dyDescent="0.2">
      <c r="B2" s="124" t="s">
        <v>54</v>
      </c>
      <c r="C2" s="124"/>
      <c r="D2" s="124"/>
      <c r="E2" s="124"/>
      <c r="F2" s="124"/>
      <c r="G2" s="124"/>
      <c r="H2" s="124"/>
      <c r="I2" s="124"/>
    </row>
    <row r="3" spans="2:9" ht="12.75" customHeight="1" x14ac:dyDescent="0.2">
      <c r="B3" s="125" t="s">
        <v>51</v>
      </c>
      <c r="C3" s="125"/>
      <c r="D3" s="125"/>
      <c r="E3" s="125"/>
      <c r="F3" s="125"/>
      <c r="G3" s="125"/>
      <c r="H3" s="125"/>
      <c r="I3" s="125"/>
    </row>
    <row r="4" spans="2:9" s="67" customFormat="1" ht="25.5" x14ac:dyDescent="0.2">
      <c r="B4" s="68" t="s">
        <v>157</v>
      </c>
      <c r="C4" s="68" t="s">
        <v>156</v>
      </c>
      <c r="D4" s="68" t="s">
        <v>35</v>
      </c>
      <c r="E4" s="68" t="s">
        <v>0</v>
      </c>
      <c r="F4" s="68" t="s">
        <v>34</v>
      </c>
      <c r="G4" s="68" t="s">
        <v>33</v>
      </c>
      <c r="H4" s="68" t="s">
        <v>32</v>
      </c>
      <c r="I4" s="76" t="str">
        <f>+Sensibilización!I4</f>
        <v xml:space="preserve">Fecha de Inicio </v>
      </c>
    </row>
    <row r="5" spans="2:9" s="67" customFormat="1" ht="38.25" x14ac:dyDescent="0.2">
      <c r="B5" s="15">
        <v>1</v>
      </c>
      <c r="C5" s="15">
        <v>7</v>
      </c>
      <c r="D5" s="82" t="s">
        <v>130</v>
      </c>
      <c r="E5" s="84" t="str">
        <f>+Sensibilización!E6</f>
        <v>Gestión Integral de Residuos</v>
      </c>
      <c r="F5" s="84" t="s">
        <v>38</v>
      </c>
      <c r="G5" s="8" t="s">
        <v>52</v>
      </c>
      <c r="H5" s="8" t="s">
        <v>53</v>
      </c>
      <c r="I5" s="80">
        <v>2021</v>
      </c>
    </row>
    <row r="6" spans="2:9" s="67" customFormat="1" ht="277.5" customHeight="1" x14ac:dyDescent="0.2">
      <c r="B6" s="15">
        <v>2</v>
      </c>
      <c r="C6" s="94">
        <v>8</v>
      </c>
      <c r="D6" s="79" t="s">
        <v>131</v>
      </c>
      <c r="E6" s="84" t="str">
        <f>+Sensibilización!E7</f>
        <v>Gestión Integral de Residuos</v>
      </c>
      <c r="F6" s="83" t="s">
        <v>38</v>
      </c>
      <c r="G6" s="80" t="s">
        <v>132</v>
      </c>
      <c r="H6" s="84" t="s">
        <v>62</v>
      </c>
      <c r="I6" s="84">
        <v>2021</v>
      </c>
    </row>
    <row r="7" spans="2:9" s="67" customFormat="1" ht="51" x14ac:dyDescent="0.2">
      <c r="B7" s="21">
        <v>3</v>
      </c>
      <c r="C7" s="21">
        <v>9</v>
      </c>
      <c r="D7" s="86" t="s">
        <v>161</v>
      </c>
      <c r="E7" s="84" t="str">
        <f>+Sensibilización!E8</f>
        <v>Gestión Integral de Residuos</v>
      </c>
      <c r="F7" s="84" t="s">
        <v>38</v>
      </c>
      <c r="G7" s="80" t="s">
        <v>55</v>
      </c>
      <c r="H7" s="80" t="s">
        <v>145</v>
      </c>
      <c r="I7" s="84" t="s">
        <v>2</v>
      </c>
    </row>
    <row r="8" spans="2:9" ht="51" x14ac:dyDescent="0.2">
      <c r="B8" s="21">
        <v>4</v>
      </c>
      <c r="C8" s="21">
        <v>10</v>
      </c>
      <c r="D8" s="81" t="s">
        <v>56</v>
      </c>
      <c r="E8" s="84" t="str">
        <f>+Sensibilización!E9</f>
        <v>Gestión Integral de Residuos</v>
      </c>
      <c r="F8" s="80" t="s">
        <v>38</v>
      </c>
      <c r="G8" s="84" t="s">
        <v>57</v>
      </c>
      <c r="H8" s="84" t="s">
        <v>58</v>
      </c>
      <c r="I8" s="80">
        <v>2021</v>
      </c>
    </row>
    <row r="9" spans="2:9" ht="38.25" x14ac:dyDescent="0.2">
      <c r="B9" s="21">
        <v>5</v>
      </c>
      <c r="C9" s="21">
        <v>11</v>
      </c>
      <c r="D9" s="86" t="s">
        <v>59</v>
      </c>
      <c r="E9" s="80" t="str">
        <f>+Sensibilización!E10</f>
        <v>Gestión Integral de Residuos</v>
      </c>
      <c r="F9" s="86" t="s">
        <v>38</v>
      </c>
      <c r="G9" s="80" t="s">
        <v>60</v>
      </c>
      <c r="H9" s="80" t="s">
        <v>3</v>
      </c>
      <c r="I9" s="80">
        <v>2021</v>
      </c>
    </row>
    <row r="10" spans="2:9" ht="7.5" customHeight="1" x14ac:dyDescent="0.2">
      <c r="D10" s="69"/>
    </row>
    <row r="11" spans="2:9" x14ac:dyDescent="0.2">
      <c r="D11" s="69"/>
    </row>
    <row r="14" spans="2:9" x14ac:dyDescent="0.2">
      <c r="G14" s="3"/>
    </row>
  </sheetData>
  <mergeCells count="2">
    <mergeCell ref="B2:I2"/>
    <mergeCell ref="B3:I3"/>
  </mergeCells>
  <pageMargins left="0.75" right="0.75" top="1" bottom="1" header="0.5" footer="0.5"/>
  <pageSetup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12"/>
  <sheetViews>
    <sheetView showGridLines="0" zoomScaleNormal="100" workbookViewId="0">
      <selection activeCell="P10" sqref="P10"/>
    </sheetView>
  </sheetViews>
  <sheetFormatPr baseColWidth="10" defaultColWidth="9.140625" defaultRowHeight="12.75" x14ac:dyDescent="0.2"/>
  <cols>
    <col min="1" max="1" width="1.42578125" style="66" customWidth="1"/>
    <col min="2" max="3" width="4.7109375" style="66" customWidth="1"/>
    <col min="4" max="4" width="46.28515625" style="66" customWidth="1"/>
    <col min="5" max="6" width="15" style="66" customWidth="1"/>
    <col min="7" max="7" width="25" style="66" customWidth="1"/>
    <col min="8" max="8" width="16.42578125" style="66" customWidth="1"/>
    <col min="9" max="9" width="15" style="66" customWidth="1"/>
    <col min="10" max="10" width="1.42578125" style="66" customWidth="1"/>
    <col min="11" max="16384" width="9.140625" style="66"/>
  </cols>
  <sheetData>
    <row r="1" spans="2:14" s="69" customFormat="1" ht="13.5" thickBot="1" x14ac:dyDescent="0.25">
      <c r="B1" s="85" t="s">
        <v>36</v>
      </c>
      <c r="C1" s="71"/>
      <c r="D1" s="85"/>
      <c r="E1" s="71"/>
      <c r="F1" s="71"/>
      <c r="G1" s="71"/>
      <c r="H1" s="71"/>
      <c r="I1" s="70" t="s">
        <v>1</v>
      </c>
    </row>
    <row r="2" spans="2:14" ht="18" x14ac:dyDescent="0.2">
      <c r="B2" s="124" t="s">
        <v>61</v>
      </c>
      <c r="C2" s="124"/>
      <c r="D2" s="124"/>
      <c r="E2" s="124"/>
      <c r="F2" s="124"/>
      <c r="G2" s="124"/>
      <c r="H2" s="124"/>
      <c r="I2" s="124"/>
    </row>
    <row r="3" spans="2:14" x14ac:dyDescent="0.2">
      <c r="B3" s="125" t="s">
        <v>117</v>
      </c>
      <c r="C3" s="125"/>
      <c r="D3" s="125"/>
      <c r="E3" s="125"/>
      <c r="F3" s="125"/>
      <c r="G3" s="125"/>
      <c r="H3" s="125"/>
      <c r="I3" s="125"/>
    </row>
    <row r="4" spans="2:14" s="67" customFormat="1" ht="25.5" x14ac:dyDescent="0.2">
      <c r="B4" s="68" t="s">
        <v>157</v>
      </c>
      <c r="C4" s="68" t="s">
        <v>156</v>
      </c>
      <c r="D4" s="68" t="s">
        <v>35</v>
      </c>
      <c r="E4" s="68" t="s">
        <v>0</v>
      </c>
      <c r="F4" s="68" t="s">
        <v>34</v>
      </c>
      <c r="G4" s="68" t="s">
        <v>33</v>
      </c>
      <c r="H4" s="68" t="s">
        <v>32</v>
      </c>
      <c r="I4" s="76" t="str">
        <f>+Sensibilización!I4</f>
        <v xml:space="preserve">Fecha de Inicio </v>
      </c>
    </row>
    <row r="5" spans="2:14" s="67" customFormat="1" ht="114.75" x14ac:dyDescent="0.2">
      <c r="B5" s="15">
        <v>1</v>
      </c>
      <c r="C5" s="15">
        <v>12</v>
      </c>
      <c r="D5" s="82" t="s">
        <v>133</v>
      </c>
      <c r="E5" s="86" t="str">
        <f>+Sensibilización!E6</f>
        <v>Gestión Integral de Residuos</v>
      </c>
      <c r="F5" s="79" t="s">
        <v>38</v>
      </c>
      <c r="G5" s="79" t="s">
        <v>65</v>
      </c>
      <c r="H5" s="79" t="s">
        <v>159</v>
      </c>
      <c r="I5" s="79" t="s">
        <v>2</v>
      </c>
    </row>
    <row r="6" spans="2:14" ht="38.25" x14ac:dyDescent="0.2">
      <c r="B6" s="15">
        <v>2</v>
      </c>
      <c r="C6" s="94">
        <v>13</v>
      </c>
      <c r="D6" s="82" t="s">
        <v>63</v>
      </c>
      <c r="E6" s="86" t="str">
        <f>+$E$5</f>
        <v>Gestión Integral de Residuos</v>
      </c>
      <c r="F6" s="86" t="s">
        <v>38</v>
      </c>
      <c r="G6" s="8" t="s">
        <v>64</v>
      </c>
      <c r="H6" s="8" t="s">
        <v>66</v>
      </c>
      <c r="I6" s="10" t="s">
        <v>2</v>
      </c>
    </row>
    <row r="7" spans="2:14" ht="75.75" customHeight="1" x14ac:dyDescent="0.2">
      <c r="B7" s="22">
        <v>3</v>
      </c>
      <c r="C7" s="22">
        <v>14</v>
      </c>
      <c r="D7" s="86" t="s">
        <v>178</v>
      </c>
      <c r="E7" s="86" t="str">
        <f t="shared" ref="E7:E12" si="0">+$E$5</f>
        <v>Gestión Integral de Residuos</v>
      </c>
      <c r="F7" s="86" t="s">
        <v>38</v>
      </c>
      <c r="G7" s="106" t="s">
        <v>176</v>
      </c>
      <c r="H7" s="86" t="s">
        <v>3</v>
      </c>
      <c r="I7" s="11" t="s">
        <v>78</v>
      </c>
    </row>
    <row r="8" spans="2:14" ht="51" x14ac:dyDescent="0.2">
      <c r="B8" s="21">
        <v>4</v>
      </c>
      <c r="C8" s="21">
        <v>15</v>
      </c>
      <c r="D8" s="79" t="s">
        <v>67</v>
      </c>
      <c r="E8" s="86" t="str">
        <f t="shared" si="0"/>
        <v>Gestión Integral de Residuos</v>
      </c>
      <c r="F8" s="86" t="s">
        <v>38</v>
      </c>
      <c r="G8" s="8" t="s">
        <v>134</v>
      </c>
      <c r="H8" s="80" t="s">
        <v>68</v>
      </c>
      <c r="I8" s="10" t="s">
        <v>164</v>
      </c>
    </row>
    <row r="9" spans="2:14" ht="63.75" x14ac:dyDescent="0.2">
      <c r="B9" s="21">
        <v>5</v>
      </c>
      <c r="C9" s="21">
        <v>16</v>
      </c>
      <c r="D9" s="79" t="s">
        <v>190</v>
      </c>
      <c r="E9" s="86" t="str">
        <f t="shared" si="0"/>
        <v>Gestión Integral de Residuos</v>
      </c>
      <c r="F9" s="86" t="s">
        <v>38</v>
      </c>
      <c r="G9" s="8" t="s">
        <v>69</v>
      </c>
      <c r="H9" s="80" t="s">
        <v>70</v>
      </c>
      <c r="I9" s="10" t="s">
        <v>2</v>
      </c>
    </row>
    <row r="10" spans="2:14" ht="114.75" x14ac:dyDescent="0.2">
      <c r="B10" s="21">
        <v>6</v>
      </c>
      <c r="C10" s="21">
        <v>17</v>
      </c>
      <c r="D10" s="79" t="s">
        <v>73</v>
      </c>
      <c r="E10" s="86" t="str">
        <f t="shared" si="0"/>
        <v>Gestión Integral de Residuos</v>
      </c>
      <c r="F10" s="86" t="s">
        <v>38</v>
      </c>
      <c r="G10" s="8" t="s">
        <v>71</v>
      </c>
      <c r="H10" s="80" t="s">
        <v>72</v>
      </c>
      <c r="I10" s="10" t="s">
        <v>78</v>
      </c>
    </row>
    <row r="11" spans="2:14" ht="51" x14ac:dyDescent="0.2">
      <c r="B11" s="22">
        <v>7</v>
      </c>
      <c r="C11" s="22">
        <v>18</v>
      </c>
      <c r="D11" s="86" t="s">
        <v>179</v>
      </c>
      <c r="E11" s="86" t="str">
        <f t="shared" si="0"/>
        <v>Gestión Integral de Residuos</v>
      </c>
      <c r="F11" s="86" t="s">
        <v>38</v>
      </c>
      <c r="G11" s="106" t="s">
        <v>180</v>
      </c>
      <c r="H11" s="86" t="s">
        <v>3</v>
      </c>
      <c r="I11" s="11" t="s">
        <v>2</v>
      </c>
      <c r="K11"/>
      <c r="L11"/>
      <c r="M11"/>
      <c r="N11"/>
    </row>
    <row r="12" spans="2:14" ht="51" x14ac:dyDescent="0.2">
      <c r="B12" s="21">
        <v>8</v>
      </c>
      <c r="C12" s="21">
        <v>19</v>
      </c>
      <c r="D12" s="79" t="s">
        <v>135</v>
      </c>
      <c r="E12" s="86" t="str">
        <f t="shared" si="0"/>
        <v>Gestión Integral de Residuos</v>
      </c>
      <c r="F12" s="86" t="s">
        <v>38</v>
      </c>
      <c r="G12" s="8" t="s">
        <v>74</v>
      </c>
      <c r="H12" s="80" t="s">
        <v>75</v>
      </c>
      <c r="I12" s="10" t="s">
        <v>2</v>
      </c>
    </row>
  </sheetData>
  <mergeCells count="2">
    <mergeCell ref="B2:I2"/>
    <mergeCell ref="B3:I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10"/>
  <sheetViews>
    <sheetView showGridLines="0" zoomScale="130" zoomScaleNormal="130" workbookViewId="0">
      <selection activeCell="L9" sqref="L9"/>
    </sheetView>
  </sheetViews>
  <sheetFormatPr baseColWidth="10" defaultColWidth="9.140625" defaultRowHeight="12.75" x14ac:dyDescent="0.2"/>
  <cols>
    <col min="1" max="1" width="1.42578125" style="66" customWidth="1"/>
    <col min="2" max="3" width="4.7109375" style="66" customWidth="1"/>
    <col min="4" max="4" width="22.28515625" style="66" customWidth="1"/>
    <col min="5" max="6" width="15" style="66" customWidth="1"/>
    <col min="7" max="7" width="25" style="66" customWidth="1"/>
    <col min="8" max="8" width="16.42578125" style="66" customWidth="1"/>
    <col min="9" max="9" width="15" style="66" customWidth="1"/>
    <col min="10" max="10" width="1.42578125" style="66" customWidth="1"/>
    <col min="11" max="16384" width="9.140625" style="66"/>
  </cols>
  <sheetData>
    <row r="1" spans="2:9" s="69" customFormat="1" ht="13.5" customHeight="1" thickBot="1" x14ac:dyDescent="0.25">
      <c r="B1" s="85" t="s">
        <v>36</v>
      </c>
      <c r="C1" s="71"/>
      <c r="D1" s="85"/>
      <c r="E1" s="71"/>
      <c r="F1" s="71"/>
      <c r="G1" s="71"/>
      <c r="H1" s="71"/>
      <c r="I1" s="70" t="s">
        <v>1</v>
      </c>
    </row>
    <row r="2" spans="2:9" ht="18" x14ac:dyDescent="0.2">
      <c r="B2" s="124" t="s">
        <v>76</v>
      </c>
      <c r="C2" s="124"/>
      <c r="D2" s="124"/>
      <c r="E2" s="124"/>
      <c r="F2" s="124"/>
      <c r="G2" s="124"/>
      <c r="H2" s="124"/>
      <c r="I2" s="124"/>
    </row>
    <row r="3" spans="2:9" ht="12.75" customHeight="1" x14ac:dyDescent="0.2">
      <c r="B3" s="125" t="s">
        <v>77</v>
      </c>
      <c r="C3" s="125"/>
      <c r="D3" s="125"/>
      <c r="E3" s="125"/>
      <c r="F3" s="125"/>
      <c r="G3" s="125"/>
      <c r="H3" s="125"/>
      <c r="I3" s="125"/>
    </row>
    <row r="4" spans="2:9" s="67" customFormat="1" ht="25.5" x14ac:dyDescent="0.2">
      <c r="B4" s="68" t="s">
        <v>157</v>
      </c>
      <c r="C4" s="68" t="s">
        <v>156</v>
      </c>
      <c r="D4" s="68" t="s">
        <v>35</v>
      </c>
      <c r="E4" s="68" t="s">
        <v>0</v>
      </c>
      <c r="F4" s="68" t="s">
        <v>34</v>
      </c>
      <c r="G4" s="68" t="s">
        <v>33</v>
      </c>
      <c r="H4" s="68" t="s">
        <v>32</v>
      </c>
      <c r="I4" s="107" t="str">
        <f>+Sensibilización!I4</f>
        <v xml:space="preserve">Fecha de Inicio </v>
      </c>
    </row>
    <row r="5" spans="2:9" s="67" customFormat="1" ht="76.5" x14ac:dyDescent="0.2">
      <c r="B5" s="22">
        <v>1</v>
      </c>
      <c r="C5" s="22">
        <v>20</v>
      </c>
      <c r="D5" s="86" t="s">
        <v>181</v>
      </c>
      <c r="E5" s="86" t="s">
        <v>182</v>
      </c>
      <c r="F5" s="86" t="s">
        <v>38</v>
      </c>
      <c r="G5" s="106" t="s">
        <v>171</v>
      </c>
      <c r="H5" s="86" t="s">
        <v>168</v>
      </c>
      <c r="I5" s="11" t="s">
        <v>78</v>
      </c>
    </row>
    <row r="6" spans="2:9" s="67" customFormat="1" ht="76.5" x14ac:dyDescent="0.2">
      <c r="B6" s="15">
        <v>2</v>
      </c>
      <c r="C6" s="94">
        <v>21</v>
      </c>
      <c r="D6" s="79" t="s">
        <v>166</v>
      </c>
      <c r="E6" s="84" t="s">
        <v>182</v>
      </c>
      <c r="F6" s="88" t="s">
        <v>38</v>
      </c>
      <c r="G6" s="84" t="s">
        <v>79</v>
      </c>
      <c r="H6" s="83" t="s">
        <v>165</v>
      </c>
      <c r="I6" s="72" t="s">
        <v>2</v>
      </c>
    </row>
    <row r="7" spans="2:9" s="67" customFormat="1" ht="76.5" x14ac:dyDescent="0.2">
      <c r="B7" s="21">
        <v>3</v>
      </c>
      <c r="C7" s="15">
        <v>22</v>
      </c>
      <c r="D7" s="86" t="s">
        <v>167</v>
      </c>
      <c r="E7" s="80" t="s">
        <v>182</v>
      </c>
      <c r="F7" s="86" t="s">
        <v>38</v>
      </c>
      <c r="G7" s="1" t="s">
        <v>80</v>
      </c>
      <c r="H7" s="79" t="s">
        <v>147</v>
      </c>
      <c r="I7" s="11" t="s">
        <v>78</v>
      </c>
    </row>
    <row r="8" spans="2:9" ht="76.5" x14ac:dyDescent="0.2">
      <c r="B8" s="21">
        <v>4</v>
      </c>
      <c r="C8" s="94">
        <v>23</v>
      </c>
      <c r="D8" s="86" t="s">
        <v>82</v>
      </c>
      <c r="E8" s="80" t="s">
        <v>182</v>
      </c>
      <c r="F8" s="86" t="s">
        <v>38</v>
      </c>
      <c r="G8" s="1" t="s">
        <v>83</v>
      </c>
      <c r="H8" s="79" t="s">
        <v>81</v>
      </c>
      <c r="I8" s="11" t="s">
        <v>2</v>
      </c>
    </row>
    <row r="9" spans="2:9" ht="76.5" x14ac:dyDescent="0.2">
      <c r="B9" s="21">
        <v>5</v>
      </c>
      <c r="C9" s="15">
        <v>24</v>
      </c>
      <c r="D9" s="86" t="s">
        <v>84</v>
      </c>
      <c r="E9" s="80" t="s">
        <v>182</v>
      </c>
      <c r="F9" s="86" t="s">
        <v>38</v>
      </c>
      <c r="G9" s="1" t="s">
        <v>85</v>
      </c>
      <c r="H9" s="79" t="s">
        <v>148</v>
      </c>
      <c r="I9" s="11" t="s">
        <v>2</v>
      </c>
    </row>
    <row r="10" spans="2:9" ht="18.75" customHeight="1" x14ac:dyDescent="0.2">
      <c r="B10"/>
      <c r="C10"/>
      <c r="D10"/>
      <c r="E10"/>
      <c r="F10"/>
      <c r="G10"/>
      <c r="H10"/>
      <c r="I10"/>
    </row>
  </sheetData>
  <mergeCells count="2">
    <mergeCell ref="B2:I2"/>
    <mergeCell ref="B3:I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0"/>
  <sheetViews>
    <sheetView showGridLines="0" zoomScale="115" zoomScaleNormal="115" workbookViewId="0">
      <selection activeCell="H5" sqref="H5"/>
    </sheetView>
  </sheetViews>
  <sheetFormatPr baseColWidth="10" defaultColWidth="9.140625" defaultRowHeight="12.75" x14ac:dyDescent="0.2"/>
  <cols>
    <col min="1" max="1" width="1.42578125" style="66" customWidth="1"/>
    <col min="2" max="3" width="4.7109375" style="66" customWidth="1"/>
    <col min="4" max="4" width="37" style="66" customWidth="1"/>
    <col min="5" max="6" width="15" style="66" customWidth="1"/>
    <col min="7" max="7" width="25" style="66" customWidth="1"/>
    <col min="8" max="8" width="16.42578125" style="66" customWidth="1"/>
    <col min="9" max="9" width="15" style="66" customWidth="1"/>
    <col min="10" max="10" width="1.42578125" style="66" customWidth="1"/>
    <col min="11" max="16384" width="9.140625" style="66"/>
  </cols>
  <sheetData>
    <row r="1" spans="2:9" s="69" customFormat="1" ht="13.5" customHeight="1" thickBot="1" x14ac:dyDescent="0.25">
      <c r="B1" s="85" t="s">
        <v>36</v>
      </c>
      <c r="C1" s="71"/>
      <c r="D1" s="85"/>
      <c r="E1" s="71"/>
      <c r="F1" s="71"/>
      <c r="G1" s="71"/>
      <c r="H1" s="71"/>
      <c r="I1" s="70" t="s">
        <v>1</v>
      </c>
    </row>
    <row r="2" spans="2:9" ht="18" x14ac:dyDescent="0.2">
      <c r="B2" s="124" t="s">
        <v>86</v>
      </c>
      <c r="C2" s="124"/>
      <c r="D2" s="124"/>
      <c r="E2" s="124"/>
      <c r="F2" s="124"/>
      <c r="G2" s="124"/>
      <c r="H2" s="124"/>
      <c r="I2" s="124"/>
    </row>
    <row r="3" spans="2:9" ht="12.75" customHeight="1" x14ac:dyDescent="0.2">
      <c r="B3" s="125" t="s">
        <v>87</v>
      </c>
      <c r="C3" s="125"/>
      <c r="D3" s="125"/>
      <c r="E3" s="125"/>
      <c r="F3" s="125"/>
      <c r="G3" s="125"/>
      <c r="H3" s="125"/>
      <c r="I3" s="125"/>
    </row>
    <row r="4" spans="2:9" s="67" customFormat="1" ht="25.5" x14ac:dyDescent="0.2">
      <c r="B4" s="68" t="s">
        <v>157</v>
      </c>
      <c r="C4" s="68" t="s">
        <v>156</v>
      </c>
      <c r="D4" s="68" t="s">
        <v>35</v>
      </c>
      <c r="E4" s="68" t="s">
        <v>0</v>
      </c>
      <c r="F4" s="68" t="s">
        <v>34</v>
      </c>
      <c r="G4" s="68" t="s">
        <v>33</v>
      </c>
      <c r="H4" s="68" t="s">
        <v>32</v>
      </c>
      <c r="I4" s="76" t="str">
        <f>+Sensibilización!I4</f>
        <v xml:space="preserve">Fecha de Inicio </v>
      </c>
    </row>
    <row r="5" spans="2:9" s="67" customFormat="1" ht="63.75" x14ac:dyDescent="0.2">
      <c r="B5" s="15">
        <v>1</v>
      </c>
      <c r="C5" s="15">
        <v>25</v>
      </c>
      <c r="D5" s="82" t="s">
        <v>169</v>
      </c>
      <c r="E5" s="84" t="str">
        <f>+Sensibilización!E5</f>
        <v>Gestión Integral de Residuos</v>
      </c>
      <c r="F5" s="84" t="s">
        <v>38</v>
      </c>
      <c r="G5" s="8" t="s">
        <v>88</v>
      </c>
      <c r="H5" s="106" t="s">
        <v>170</v>
      </c>
      <c r="I5" s="10">
        <v>2021</v>
      </c>
    </row>
    <row r="6" spans="2:9" s="67" customFormat="1" ht="63.75" x14ac:dyDescent="0.2">
      <c r="B6" s="15">
        <v>2</v>
      </c>
      <c r="C6" s="94">
        <v>26</v>
      </c>
      <c r="D6" s="79" t="s">
        <v>91</v>
      </c>
      <c r="E6" s="84" t="str">
        <f>+Sensibilización!E6</f>
        <v>Gestión Integral de Residuos</v>
      </c>
      <c r="F6" s="87" t="s">
        <v>38</v>
      </c>
      <c r="G6" s="1" t="s">
        <v>89</v>
      </c>
      <c r="H6" s="80" t="s">
        <v>90</v>
      </c>
      <c r="I6" s="79">
        <v>2021</v>
      </c>
    </row>
    <row r="7" spans="2:9" ht="127.5" x14ac:dyDescent="0.2">
      <c r="B7" s="21">
        <v>3</v>
      </c>
      <c r="C7" s="15">
        <v>27</v>
      </c>
      <c r="D7" s="79" t="s">
        <v>136</v>
      </c>
      <c r="E7" s="84" t="str">
        <f>+Sensibilización!E7</f>
        <v>Gestión Integral de Residuos</v>
      </c>
      <c r="F7" s="87" t="s">
        <v>38</v>
      </c>
      <c r="G7" s="1" t="s">
        <v>92</v>
      </c>
      <c r="H7" s="80" t="s">
        <v>93</v>
      </c>
      <c r="I7" s="79" t="s">
        <v>2</v>
      </c>
    </row>
    <row r="8" spans="2:9" ht="76.5" x14ac:dyDescent="0.2">
      <c r="B8" s="21">
        <v>4</v>
      </c>
      <c r="C8" s="94">
        <v>28</v>
      </c>
      <c r="D8" s="79" t="s">
        <v>95</v>
      </c>
      <c r="E8" s="84" t="str">
        <f>+Sensibilización!E8</f>
        <v>Gestión Integral de Residuos</v>
      </c>
      <c r="F8" s="87" t="s">
        <v>38</v>
      </c>
      <c r="G8" s="1" t="s">
        <v>94</v>
      </c>
      <c r="H8" s="80" t="s">
        <v>149</v>
      </c>
      <c r="I8" s="79">
        <v>2021</v>
      </c>
    </row>
    <row r="9" spans="2:9" ht="76.5" x14ac:dyDescent="0.2">
      <c r="B9" s="21">
        <v>5</v>
      </c>
      <c r="C9" s="15">
        <v>29</v>
      </c>
      <c r="D9" s="79" t="s">
        <v>137</v>
      </c>
      <c r="E9" s="84" t="str">
        <f>+Sensibilización!E9</f>
        <v>Gestión Integral de Residuos</v>
      </c>
      <c r="F9" s="87" t="s">
        <v>38</v>
      </c>
      <c r="G9" s="1" t="s">
        <v>96</v>
      </c>
      <c r="H9" s="80" t="s">
        <v>150</v>
      </c>
      <c r="I9" s="79">
        <v>2022</v>
      </c>
    </row>
    <row r="10" spans="2:9" ht="76.5" x14ac:dyDescent="0.2">
      <c r="B10" s="21">
        <v>6</v>
      </c>
      <c r="C10" s="94">
        <v>30</v>
      </c>
      <c r="D10" s="79" t="s">
        <v>138</v>
      </c>
      <c r="E10" s="80" t="str">
        <f>+Sensibilización!E10</f>
        <v>Gestión Integral de Residuos</v>
      </c>
      <c r="F10" s="87" t="s">
        <v>38</v>
      </c>
      <c r="G10" s="1" t="s">
        <v>97</v>
      </c>
      <c r="H10" s="80" t="s">
        <v>98</v>
      </c>
      <c r="I10" s="79" t="s">
        <v>2</v>
      </c>
    </row>
  </sheetData>
  <mergeCells count="2">
    <mergeCell ref="B2:I2"/>
    <mergeCell ref="B3:I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10"/>
  <sheetViews>
    <sheetView showGridLines="0" zoomScale="115" zoomScaleNormal="115" workbookViewId="0">
      <selection activeCell="D14" sqref="D14"/>
    </sheetView>
  </sheetViews>
  <sheetFormatPr baseColWidth="10" defaultColWidth="9.140625" defaultRowHeight="12.75" x14ac:dyDescent="0.2"/>
  <cols>
    <col min="1" max="1" width="1.42578125" style="66" customWidth="1"/>
    <col min="2" max="3" width="4.7109375" style="66" customWidth="1"/>
    <col min="4" max="4" width="48.140625" style="66" customWidth="1"/>
    <col min="5" max="6" width="15" style="66" customWidth="1"/>
    <col min="7" max="7" width="25" style="66" customWidth="1"/>
    <col min="8" max="8" width="16.42578125" style="66" customWidth="1"/>
    <col min="9" max="9" width="15" style="66" customWidth="1"/>
    <col min="10" max="10" width="1.42578125" style="66" customWidth="1"/>
    <col min="11" max="16384" width="9.140625" style="66"/>
  </cols>
  <sheetData>
    <row r="1" spans="2:15" s="69" customFormat="1" ht="13.5" customHeight="1" thickBot="1" x14ac:dyDescent="0.25">
      <c r="B1" s="85" t="s">
        <v>36</v>
      </c>
      <c r="C1" s="71"/>
      <c r="D1" s="85"/>
      <c r="E1" s="71"/>
      <c r="F1" s="71"/>
      <c r="G1" s="71"/>
      <c r="H1" s="71"/>
      <c r="I1" s="70" t="s">
        <v>1</v>
      </c>
    </row>
    <row r="2" spans="2:15" ht="18" x14ac:dyDescent="0.2">
      <c r="B2" s="124" t="s">
        <v>100</v>
      </c>
      <c r="C2" s="124"/>
      <c r="D2" s="124"/>
      <c r="E2" s="124"/>
      <c r="F2" s="124"/>
      <c r="G2" s="124"/>
      <c r="H2" s="124"/>
      <c r="I2" s="124"/>
    </row>
    <row r="3" spans="2:15" ht="12.75" customHeight="1" x14ac:dyDescent="0.2">
      <c r="B3" s="125" t="s">
        <v>99</v>
      </c>
      <c r="C3" s="125"/>
      <c r="D3" s="125"/>
      <c r="E3" s="125"/>
      <c r="F3" s="125"/>
      <c r="G3" s="125"/>
      <c r="H3" s="125"/>
      <c r="I3" s="125"/>
    </row>
    <row r="4" spans="2:15" s="67" customFormat="1" ht="25.5" x14ac:dyDescent="0.2">
      <c r="B4" s="68" t="s">
        <v>157</v>
      </c>
      <c r="C4" s="68" t="s">
        <v>156</v>
      </c>
      <c r="D4" s="68" t="s">
        <v>35</v>
      </c>
      <c r="E4" s="68" t="s">
        <v>0</v>
      </c>
      <c r="F4" s="68" t="s">
        <v>34</v>
      </c>
      <c r="G4" s="68" t="s">
        <v>33</v>
      </c>
      <c r="H4" s="68" t="s">
        <v>32</v>
      </c>
      <c r="I4" s="76" t="str">
        <f>+Sensibilización!I4</f>
        <v xml:space="preserve">Fecha de Inicio </v>
      </c>
    </row>
    <row r="5" spans="2:15" ht="76.5" x14ac:dyDescent="0.2">
      <c r="B5" s="15">
        <v>1</v>
      </c>
      <c r="C5" s="15">
        <v>31</v>
      </c>
      <c r="D5" s="83" t="s">
        <v>172</v>
      </c>
      <c r="E5" s="82" t="str">
        <f>+'Residuos valorizables'!E5</f>
        <v>Gestión Integral de Residuos</v>
      </c>
      <c r="F5" s="82" t="s">
        <v>38</v>
      </c>
      <c r="G5" s="79" t="s">
        <v>151</v>
      </c>
      <c r="H5" s="79" t="s">
        <v>158</v>
      </c>
      <c r="I5" s="79">
        <v>2021</v>
      </c>
    </row>
    <row r="6" spans="2:15" ht="76.5" x14ac:dyDescent="0.2">
      <c r="B6" s="15">
        <v>2</v>
      </c>
      <c r="C6" s="94">
        <v>32</v>
      </c>
      <c r="D6" s="79" t="s">
        <v>139</v>
      </c>
      <c r="E6" s="82" t="str">
        <f>+'Residuos valorizables'!E6</f>
        <v>Gestión Integral de Residuos</v>
      </c>
      <c r="F6" s="79" t="s">
        <v>38</v>
      </c>
      <c r="G6" s="1" t="s">
        <v>101</v>
      </c>
      <c r="H6" s="1" t="s">
        <v>102</v>
      </c>
      <c r="I6" s="79">
        <v>2022</v>
      </c>
    </row>
    <row r="7" spans="2:15" ht="76.5" x14ac:dyDescent="0.2">
      <c r="B7" s="21">
        <v>3</v>
      </c>
      <c r="C7" s="15">
        <v>33</v>
      </c>
      <c r="D7" s="79" t="s">
        <v>103</v>
      </c>
      <c r="E7" s="82" t="str">
        <f>+'Residuos valorizables'!E7</f>
        <v>Gestión Integral de Residuos</v>
      </c>
      <c r="F7" s="79" t="s">
        <v>38</v>
      </c>
      <c r="G7" s="1" t="s">
        <v>104</v>
      </c>
      <c r="H7" s="1" t="s">
        <v>152</v>
      </c>
      <c r="I7" s="79">
        <v>2021</v>
      </c>
    </row>
    <row r="8" spans="2:15" ht="85.5" customHeight="1" x14ac:dyDescent="0.2">
      <c r="B8" s="21">
        <v>4</v>
      </c>
      <c r="C8" s="94">
        <v>34</v>
      </c>
      <c r="D8" s="86" t="s">
        <v>187</v>
      </c>
      <c r="E8" s="82" t="str">
        <f>+'Residuos valorizables'!E8</f>
        <v>Gestión Integral de Residuos</v>
      </c>
      <c r="F8" s="79" t="s">
        <v>38</v>
      </c>
      <c r="G8" s="1" t="s">
        <v>140</v>
      </c>
      <c r="H8" s="1" t="s">
        <v>141</v>
      </c>
      <c r="I8" s="79">
        <v>2021</v>
      </c>
    </row>
    <row r="9" spans="2:15" ht="60" customHeight="1" x14ac:dyDescent="0.2">
      <c r="B9" s="22">
        <v>5</v>
      </c>
      <c r="C9" s="22">
        <v>35</v>
      </c>
      <c r="D9" s="86" t="s">
        <v>188</v>
      </c>
      <c r="E9" s="83" t="str">
        <f>+'Residuos valorizables'!E9</f>
        <v>Gestión Integral de Residuos</v>
      </c>
      <c r="F9" s="86" t="s">
        <v>38</v>
      </c>
      <c r="G9" s="106" t="s">
        <v>106</v>
      </c>
      <c r="H9" s="106" t="s">
        <v>173</v>
      </c>
      <c r="I9" s="86" t="s">
        <v>2</v>
      </c>
      <c r="J9"/>
      <c r="K9"/>
      <c r="L9"/>
      <c r="M9"/>
      <c r="N9"/>
      <c r="O9"/>
    </row>
    <row r="10" spans="2:15" ht="63.75" x14ac:dyDescent="0.2">
      <c r="B10" s="21">
        <v>6</v>
      </c>
      <c r="C10" s="94">
        <v>36</v>
      </c>
      <c r="D10" s="79" t="s">
        <v>154</v>
      </c>
      <c r="E10" s="79" t="str">
        <f>+'Residuos valorizables'!E10</f>
        <v>Gestión Integral de Residuos</v>
      </c>
      <c r="F10" s="79" t="s">
        <v>38</v>
      </c>
      <c r="G10" s="1" t="s">
        <v>105</v>
      </c>
      <c r="H10" s="1" t="s">
        <v>155</v>
      </c>
      <c r="I10" s="79">
        <v>2020</v>
      </c>
    </row>
  </sheetData>
  <mergeCells count="2">
    <mergeCell ref="B2:I2"/>
    <mergeCell ref="B3:I3"/>
  </mergeCells>
  <pageMargins left="0.70866141732283472" right="0.70866141732283472" top="0.74803149606299213" bottom="0.74803149606299213" header="0.31496062992125984" footer="0.31496062992125984"/>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42</vt:i4>
      </vt:variant>
    </vt:vector>
  </HeadingPairs>
  <TitlesOfParts>
    <vt:vector size="52" baseType="lpstr">
      <vt:lpstr>Cuadro Control</vt:lpstr>
      <vt:lpstr>Matriz Indicadores</vt:lpstr>
      <vt:lpstr>Formulas</vt:lpstr>
      <vt:lpstr>Sensibilización</vt:lpstr>
      <vt:lpstr>Incentivos</vt:lpstr>
      <vt:lpstr>Coordinación interinstitucional</vt:lpstr>
      <vt:lpstr>Limpieza vías</vt:lpstr>
      <vt:lpstr>Residuos valorizables</vt:lpstr>
      <vt:lpstr>Residuos no trad y botaderos</vt:lpstr>
      <vt:lpstr>Acciones en Varablanca</vt:lpstr>
      <vt:lpstr>Educación_2014</vt:lpstr>
      <vt:lpstr>Educación_2015</vt:lpstr>
      <vt:lpstr>Educación_2016</vt:lpstr>
      <vt:lpstr>Educación_2017</vt:lpstr>
      <vt:lpstr>Educación_2018</vt:lpstr>
      <vt:lpstr>Educación_2019</vt:lpstr>
      <vt:lpstr>Facilitacion_2014</vt:lpstr>
      <vt:lpstr>Facilitacion_2015</vt:lpstr>
      <vt:lpstr>Facilitacion_2016</vt:lpstr>
      <vt:lpstr>Facilitacion_2017</vt:lpstr>
      <vt:lpstr>Facilitacion_2018</vt:lpstr>
      <vt:lpstr>Facilitacion_2019</vt:lpstr>
      <vt:lpstr>Incentivos_y_multas_2014</vt:lpstr>
      <vt:lpstr>Incentivos_y_multas_2015</vt:lpstr>
      <vt:lpstr>Incentivos_y_multas_2016</vt:lpstr>
      <vt:lpstr>Incentivos_y_multas_2017</vt:lpstr>
      <vt:lpstr>Incentivos_y_multas_2018</vt:lpstr>
      <vt:lpstr>Incentivos_y_multas_2019</vt:lpstr>
      <vt:lpstr>Limpieza_de_vias_2014</vt:lpstr>
      <vt:lpstr>Limpieza_de_vias_2015</vt:lpstr>
      <vt:lpstr>Limpieza_de_vias_2016</vt:lpstr>
      <vt:lpstr>Limpieza_de_vias_2017</vt:lpstr>
      <vt:lpstr>Limpieza_de_vias_2018</vt:lpstr>
      <vt:lpstr>Limpieza_de_vias_2019</vt:lpstr>
      <vt:lpstr>Recoleccion_2014</vt:lpstr>
      <vt:lpstr>Recoleccion_2015</vt:lpstr>
      <vt:lpstr>Recoleccion_2016</vt:lpstr>
      <vt:lpstr>Recoleccion_2017</vt:lpstr>
      <vt:lpstr>Recoleccion_2018</vt:lpstr>
      <vt:lpstr>Recoleccion_2019</vt:lpstr>
      <vt:lpstr>Residuos_No_Tradicionales_y_peligrosos_2014</vt:lpstr>
      <vt:lpstr>Residuos_No_Tradicionales_y_peligrosos_2015</vt:lpstr>
      <vt:lpstr>Residuos_No_Tradicionales_y_peligrosos_2016</vt:lpstr>
      <vt:lpstr>Residuos_No_Tradicionales_y_peligrosos_2017</vt:lpstr>
      <vt:lpstr>Residuos_No_Tradicionales_y_peligrosos_2018</vt:lpstr>
      <vt:lpstr>Residuos_No_Tradicionales_y_peligrosos_2019</vt:lpstr>
      <vt:lpstr>Residuos_valorizables_2014</vt:lpstr>
      <vt:lpstr>Residuos_valorizables_2015</vt:lpstr>
      <vt:lpstr>Residuos_valorizables_2016</vt:lpstr>
      <vt:lpstr>Residuos_valorizables_2017</vt:lpstr>
      <vt:lpstr>Residuos_valorizables_2018</vt:lpstr>
      <vt:lpstr>Residuos_valorizables_2019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aguilasy</dc:creator>
  <cp:lastModifiedBy>Teresita Granados</cp:lastModifiedBy>
  <cp:lastPrinted>2013-10-09T20:09:50Z</cp:lastPrinted>
  <dcterms:created xsi:type="dcterms:W3CDTF">2007-10-15T22:02:35Z</dcterms:created>
  <dcterms:modified xsi:type="dcterms:W3CDTF">2020-06-09T21:08:16Z</dcterms:modified>
</cp:coreProperties>
</file>